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655" windowWidth="11580" windowHeight="2970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</definedNames>
  <calcPr fullCalcOnLoad="1"/>
</workbook>
</file>

<file path=xl/sharedStrings.xml><?xml version="1.0" encoding="utf-8"?>
<sst xmlns="http://schemas.openxmlformats.org/spreadsheetml/2006/main" count="172" uniqueCount="123">
  <si>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</si>
  <si>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</si>
  <si>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</si>
  <si>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</si>
  <si>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</si>
  <si>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</si>
  <si>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</si>
  <si>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</si>
  <si>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</si>
  <si>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</si>
  <si>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</si>
  <si>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</si>
  <si>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</si>
  <si>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Фонд охорони навколишнього середовища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</si>
  <si>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</si>
  <si>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</si>
  <si>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</si>
  <si>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</si>
  <si>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</si>
  <si>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</si>
  <si>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ВСЬОГО /загальний, спеціальний фонди/:</t>
  </si>
  <si>
    <t>Будівництво /бюджет розвитку/</t>
  </si>
  <si>
    <t>Внески в стат. фонди /бюдж.розвитку/</t>
  </si>
  <si>
    <t>Охорона здоров'я</t>
  </si>
  <si>
    <t>Видатки не віднесені до основних груп</t>
  </si>
  <si>
    <t>Прогр.розвитку земельних відносин</t>
  </si>
  <si>
    <t>Цільові фонди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</si>
  <si>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</si>
  <si>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</si>
  <si>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</si>
  <si>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</si>
  <si>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Рятування на водах (210110)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</si>
  <si>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</si>
  <si>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</si>
  <si>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</si>
  <si>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</si>
  <si>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</si>
  <si>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</si>
  <si>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</si>
  <si>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</si>
  <si>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</si>
  <si>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</si>
  <si>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</si>
  <si>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</si>
  <si>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Заходи запобігання і ліквідації НС (210105)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</si>
  <si>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</si>
  <si>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</si>
  <si>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</si>
  <si>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Міськ.прогр.підтримки громадського транспорту (170603)</t>
  </si>
  <si>
    <t>Назва галузі</t>
  </si>
  <si>
    <t>Субвенція районним, обласному та іншим бюджетам</t>
  </si>
  <si>
    <t>інші бюджети</t>
  </si>
  <si>
    <t>Молодіжне кредитування</t>
  </si>
  <si>
    <t>в т.ч. заробітна плата</t>
  </si>
  <si>
    <t>Теріторіальні центри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</si>
  <si>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</si>
  <si>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</si>
  <si>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</si>
  <si>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Інші видатки /бюджет розвитку/</t>
  </si>
  <si>
    <t>Ремонт доріг (крім бюджету розвитку)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</si>
  <si>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</si>
  <si>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</si>
  <si>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</si>
  <si>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</si>
  <si>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</si>
  <si>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Програма використання та охорони земель</t>
  </si>
  <si>
    <t>на фінансування амбулаторного лікування хворих нефрологічного профілю</t>
  </si>
  <si>
    <t>Субвенція обласному та державному бюджетам /бюджет розвитку/</t>
  </si>
  <si>
    <t>Міськ. прогр. управління місцевим боргом та забезпечення обігу муніципальних облігацій</t>
  </si>
  <si>
    <t>Програма зайнятості населення</t>
  </si>
  <si>
    <t>Програма підвищення енергоефективності та зменшення споживання енергоресурсів</t>
  </si>
  <si>
    <t>Програма забезпечення правопорядку в м. Черкаси (250404)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</si>
  <si>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</si>
  <si>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</si>
  <si>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</si>
  <si>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</si>
  <si>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</si>
  <si>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</si>
  <si>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</si>
  <si>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</si>
  <si>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</si>
  <si>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</si>
  <si>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</si>
  <si>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</si>
  <si>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</si>
  <si>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</si>
  <si>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</si>
  <si>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</si>
  <si>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</si>
  <si>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</si>
  <si>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</si>
  <si>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</si>
  <si>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</si>
  <si>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</si>
  <si>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</si>
  <si>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</si>
  <si>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</si>
  <si>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</si>
  <si>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</si>
  <si>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</si>
  <si>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</si>
  <si>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</si>
  <si>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</si>
  <si>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Дорожній фонд (170703)</t>
  </si>
  <si>
    <t>Природоохоронні заходи (200600, 200700)</t>
  </si>
  <si>
    <t>Реверсна дотація (250301)</t>
  </si>
  <si>
    <t>Субвенція державному бюджету на виконання програм соціально-економічного та культурного розвитку регіонів (250344)</t>
  </si>
  <si>
    <t>Обслуговування боргу (230000)</t>
  </si>
  <si>
    <t>Пільгове перевезення (170102, 170602)</t>
  </si>
  <si>
    <t>Програма підтримки об'єднань співвласників баготоквартирних будинків ОСББ</t>
  </si>
  <si>
    <t>Програма забезпечення амбулаторного лікування хворих нефрологічного профілю</t>
  </si>
  <si>
    <t>в т.ч. трансферти населенню</t>
  </si>
  <si>
    <t>План на рік, тис.грн.</t>
  </si>
  <si>
    <t>Відхилення від плану на рік, тис.грн.</t>
  </si>
  <si>
    <t>Відсоток виконання плану на рік</t>
  </si>
  <si>
    <t>Громадський бюджет</t>
  </si>
  <si>
    <t>Підвищення кваліфікації кадрів</t>
  </si>
  <si>
    <t>Програма розвитку велосипедної інфраструктури</t>
  </si>
  <si>
    <t>Програма розвитку земельних відносин</t>
  </si>
  <si>
    <t>План на 7 місяців, тис.грн.</t>
  </si>
  <si>
    <t>Відсоток виконання плану 7 місяців</t>
  </si>
  <si>
    <t>Відхилення від плану 7 місяців, тис.грн.</t>
  </si>
  <si>
    <t>Аналіз використання коштів міського бюджету за 2016 рік станом на 29.07.2016 року</t>
  </si>
</sst>
</file>

<file path=xl/styles.xml><?xml version="1.0" encoding="utf-8"?>
<styleSheet xmlns="http://schemas.openxmlformats.org/spreadsheetml/2006/main">
  <numFmts count="2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%"/>
    <numFmt numFmtId="181" formatCode="0.0"/>
    <numFmt numFmtId="182" formatCode="#,##0.0"/>
    <numFmt numFmtId="183" formatCode="#,##0.00000"/>
  </numFmts>
  <fonts count="59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i/>
      <sz val="14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"/>
      <color indexed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  <font>
      <b/>
      <sz val="14"/>
      <color indexed="9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/>
      <bottom style="medium"/>
    </border>
    <border>
      <left style="medium"/>
      <right>
        <color indexed="63"/>
      </right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36" fillId="7" borderId="1" applyNumberFormat="0" applyAlignment="0" applyProtection="0"/>
    <xf numFmtId="0" fontId="37" fillId="20" borderId="2" applyNumberFormat="0" applyAlignment="0" applyProtection="0"/>
    <xf numFmtId="0" fontId="3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1" borderId="7" applyNumberFormat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2" fillId="0" borderId="0">
      <alignment/>
      <protection/>
    </xf>
    <xf numFmtId="0" fontId="46" fillId="3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4" borderId="0" applyNumberFormat="0" applyBorder="0" applyAlignment="0" applyProtection="0"/>
  </cellStyleXfs>
  <cellXfs count="142">
    <xf numFmtId="0" fontId="0" fillId="0" borderId="0" xfId="0" applyAlignment="1">
      <alignment/>
    </xf>
    <xf numFmtId="181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81" fontId="4" fillId="24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81" fontId="6" fillId="0" borderId="0" xfId="0" applyNumberFormat="1" applyFont="1" applyAlignment="1">
      <alignment/>
    </xf>
    <xf numFmtId="181" fontId="4" fillId="0" borderId="10" xfId="0" applyNumberFormat="1" applyFont="1" applyFill="1" applyBorder="1" applyAlignment="1">
      <alignment/>
    </xf>
    <xf numFmtId="181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3" fillId="0" borderId="10" xfId="0" applyNumberFormat="1" applyFont="1" applyFill="1" applyBorder="1" applyAlignment="1">
      <alignment/>
    </xf>
    <xf numFmtId="0" fontId="5" fillId="24" borderId="13" xfId="0" applyFont="1" applyFill="1" applyBorder="1" applyAlignment="1">
      <alignment wrapText="1"/>
    </xf>
    <xf numFmtId="181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5" fillId="0" borderId="10" xfId="0" applyFont="1" applyFill="1" applyBorder="1" applyAlignment="1">
      <alignment wrapText="1"/>
    </xf>
    <xf numFmtId="181" fontId="5" fillId="0" borderId="10" xfId="0" applyNumberFormat="1" applyFont="1" applyFill="1" applyBorder="1" applyAlignment="1">
      <alignment/>
    </xf>
    <xf numFmtId="181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81" fontId="5" fillId="0" borderId="15" xfId="0" applyNumberFormat="1" applyFont="1" applyFill="1" applyBorder="1" applyAlignment="1">
      <alignment/>
    </xf>
    <xf numFmtId="181" fontId="5" fillId="24" borderId="11" xfId="0" applyNumberFormat="1" applyFont="1" applyFill="1" applyBorder="1" applyAlignment="1">
      <alignment/>
    </xf>
    <xf numFmtId="181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24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6" xfId="0" applyFont="1" applyFill="1" applyBorder="1" applyAlignment="1">
      <alignment wrapText="1"/>
    </xf>
    <xf numFmtId="0" fontId="5" fillId="24" borderId="16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81" fontId="3" fillId="0" borderId="10" xfId="0" applyNumberFormat="1" applyFont="1" applyFill="1" applyBorder="1" applyAlignment="1">
      <alignment horizontal="center"/>
    </xf>
    <xf numFmtId="181" fontId="4" fillId="24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2" fontId="4" fillId="24" borderId="11" xfId="0" applyNumberFormat="1" applyFont="1" applyFill="1" applyBorder="1" applyAlignment="1">
      <alignment/>
    </xf>
    <xf numFmtId="181" fontId="4" fillId="0" borderId="15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81" fontId="0" fillId="0" borderId="0" xfId="0" applyNumberFormat="1" applyFont="1" applyFill="1" applyBorder="1" applyAlignment="1">
      <alignment/>
    </xf>
    <xf numFmtId="181" fontId="5" fillId="0" borderId="11" xfId="0" applyNumberFormat="1" applyFont="1" applyFill="1" applyBorder="1" applyAlignment="1">
      <alignment/>
    </xf>
    <xf numFmtId="182" fontId="3" fillId="0" borderId="12" xfId="0" applyNumberFormat="1" applyFont="1" applyFill="1" applyBorder="1" applyAlignment="1">
      <alignment wrapText="1"/>
    </xf>
    <xf numFmtId="182" fontId="3" fillId="0" borderId="12" xfId="0" applyNumberFormat="1" applyFont="1" applyFill="1" applyBorder="1" applyAlignment="1">
      <alignment/>
    </xf>
    <xf numFmtId="182" fontId="3" fillId="0" borderId="10" xfId="0" applyNumberFormat="1" applyFont="1" applyFill="1" applyBorder="1" applyAlignment="1">
      <alignment/>
    </xf>
    <xf numFmtId="182" fontId="4" fillId="24" borderId="13" xfId="0" applyNumberFormat="1" applyFont="1" applyFill="1" applyBorder="1" applyAlignment="1">
      <alignment wrapText="1"/>
    </xf>
    <xf numFmtId="182" fontId="4" fillId="24" borderId="13" xfId="0" applyNumberFormat="1" applyFont="1" applyFill="1" applyBorder="1" applyAlignment="1">
      <alignment/>
    </xf>
    <xf numFmtId="182" fontId="4" fillId="24" borderId="11" xfId="0" applyNumberFormat="1" applyFont="1" applyFill="1" applyBorder="1" applyAlignment="1">
      <alignment/>
    </xf>
    <xf numFmtId="182" fontId="3" fillId="0" borderId="10" xfId="0" applyNumberFormat="1" applyFont="1" applyFill="1" applyBorder="1" applyAlignment="1">
      <alignment/>
    </xf>
    <xf numFmtId="182" fontId="3" fillId="0" borderId="10" xfId="0" applyNumberFormat="1" applyFont="1" applyFill="1" applyBorder="1" applyAlignment="1">
      <alignment horizontal="right"/>
    </xf>
    <xf numFmtId="182" fontId="4" fillId="24" borderId="11" xfId="0" applyNumberFormat="1" applyFont="1" applyFill="1" applyBorder="1" applyAlignment="1">
      <alignment horizontal="right"/>
    </xf>
    <xf numFmtId="182" fontId="5" fillId="0" borderId="12" xfId="0" applyNumberFormat="1" applyFont="1" applyFill="1" applyBorder="1" applyAlignment="1">
      <alignment wrapText="1"/>
    </xf>
    <xf numFmtId="182" fontId="5" fillId="0" borderId="12" xfId="0" applyNumberFormat="1" applyFont="1" applyFill="1" applyBorder="1" applyAlignment="1">
      <alignment/>
    </xf>
    <xf numFmtId="182" fontId="5" fillId="0" borderId="10" xfId="0" applyNumberFormat="1" applyFont="1" applyFill="1" applyBorder="1" applyAlignment="1">
      <alignment/>
    </xf>
    <xf numFmtId="182" fontId="5" fillId="24" borderId="13" xfId="0" applyNumberFormat="1" applyFont="1" applyFill="1" applyBorder="1" applyAlignment="1">
      <alignment wrapText="1"/>
    </xf>
    <xf numFmtId="182" fontId="5" fillId="0" borderId="13" xfId="0" applyNumberFormat="1" applyFont="1" applyFill="1" applyBorder="1" applyAlignment="1">
      <alignment wrapText="1"/>
    </xf>
    <xf numFmtId="182" fontId="4" fillId="0" borderId="13" xfId="0" applyNumberFormat="1" applyFont="1" applyFill="1" applyBorder="1" applyAlignment="1">
      <alignment/>
    </xf>
    <xf numFmtId="182" fontId="4" fillId="0" borderId="11" xfId="0" applyNumberFormat="1" applyFont="1" applyFill="1" applyBorder="1" applyAlignment="1">
      <alignment/>
    </xf>
    <xf numFmtId="182" fontId="3" fillId="0" borderId="12" xfId="0" applyNumberFormat="1" applyFont="1" applyFill="1" applyBorder="1" applyAlignment="1">
      <alignment horizontal="right"/>
    </xf>
    <xf numFmtId="182" fontId="5" fillId="0" borderId="12" xfId="0" applyNumberFormat="1" applyFont="1" applyFill="1" applyBorder="1" applyAlignment="1">
      <alignment horizontal="left" wrapText="1"/>
    </xf>
    <xf numFmtId="182" fontId="4" fillId="0" borderId="12" xfId="0" applyNumberFormat="1" applyFont="1" applyFill="1" applyBorder="1" applyAlignment="1">
      <alignment/>
    </xf>
    <xf numFmtId="182" fontId="4" fillId="0" borderId="10" xfId="0" applyNumberFormat="1" applyFont="1" applyFill="1" applyBorder="1" applyAlignment="1">
      <alignment/>
    </xf>
    <xf numFmtId="182" fontId="5" fillId="0" borderId="13" xfId="0" applyNumberFormat="1" applyFont="1" applyFill="1" applyBorder="1" applyAlignment="1">
      <alignment/>
    </xf>
    <xf numFmtId="182" fontId="5" fillId="0" borderId="11" xfId="0" applyNumberFormat="1" applyFont="1" applyFill="1" applyBorder="1" applyAlignment="1">
      <alignment/>
    </xf>
    <xf numFmtId="182" fontId="7" fillId="0" borderId="12" xfId="0" applyNumberFormat="1" applyFont="1" applyFill="1" applyBorder="1" applyAlignment="1">
      <alignment wrapText="1"/>
    </xf>
    <xf numFmtId="182" fontId="5" fillId="0" borderId="16" xfId="0" applyNumberFormat="1" applyFont="1" applyFill="1" applyBorder="1" applyAlignment="1">
      <alignment wrapText="1"/>
    </xf>
    <xf numFmtId="182" fontId="4" fillId="0" borderId="16" xfId="0" applyNumberFormat="1" applyFont="1" applyFill="1" applyBorder="1" applyAlignment="1">
      <alignment/>
    </xf>
    <xf numFmtId="182" fontId="4" fillId="0" borderId="14" xfId="0" applyNumberFormat="1" applyFont="1" applyFill="1" applyBorder="1" applyAlignment="1">
      <alignment/>
    </xf>
    <xf numFmtId="182" fontId="5" fillId="24" borderId="16" xfId="0" applyNumberFormat="1" applyFont="1" applyFill="1" applyBorder="1" applyAlignment="1">
      <alignment wrapText="1"/>
    </xf>
    <xf numFmtId="182" fontId="4" fillId="24" borderId="16" xfId="0" applyNumberFormat="1" applyFont="1" applyFill="1" applyBorder="1" applyAlignment="1">
      <alignment/>
    </xf>
    <xf numFmtId="182" fontId="4" fillId="24" borderId="14" xfId="0" applyNumberFormat="1" applyFont="1" applyFill="1" applyBorder="1" applyAlignment="1">
      <alignment/>
    </xf>
    <xf numFmtId="182" fontId="5" fillId="0" borderId="14" xfId="0" applyNumberFormat="1" applyFont="1" applyFill="1" applyBorder="1" applyAlignment="1">
      <alignment wrapText="1"/>
    </xf>
    <xf numFmtId="182" fontId="4" fillId="0" borderId="17" xfId="0" applyNumberFormat="1" applyFont="1" applyFill="1" applyBorder="1" applyAlignment="1">
      <alignment/>
    </xf>
    <xf numFmtId="182" fontId="5" fillId="0" borderId="10" xfId="0" applyNumberFormat="1" applyFont="1" applyFill="1" applyBorder="1" applyAlignment="1">
      <alignment wrapText="1"/>
    </xf>
    <xf numFmtId="182" fontId="3" fillId="0" borderId="10" xfId="0" applyNumberFormat="1" applyFont="1" applyFill="1" applyBorder="1" applyAlignment="1">
      <alignment wrapText="1"/>
    </xf>
    <xf numFmtId="182" fontId="3" fillId="0" borderId="17" xfId="0" applyNumberFormat="1" applyFont="1" applyFill="1" applyBorder="1" applyAlignment="1">
      <alignment/>
    </xf>
    <xf numFmtId="182" fontId="5" fillId="0" borderId="17" xfId="0" applyNumberFormat="1" applyFont="1" applyFill="1" applyBorder="1" applyAlignment="1">
      <alignment/>
    </xf>
    <xf numFmtId="182" fontId="5" fillId="0" borderId="15" xfId="0" applyNumberFormat="1" applyFont="1" applyFill="1" applyBorder="1" applyAlignment="1">
      <alignment/>
    </xf>
    <xf numFmtId="182" fontId="0" fillId="0" borderId="13" xfId="0" applyNumberFormat="1" applyFont="1" applyFill="1" applyBorder="1" applyAlignment="1">
      <alignment wrapText="1"/>
    </xf>
    <xf numFmtId="182" fontId="0" fillId="0" borderId="11" xfId="0" applyNumberFormat="1" applyFont="1" applyFill="1" applyBorder="1" applyAlignment="1">
      <alignment/>
    </xf>
    <xf numFmtId="182" fontId="4" fillId="0" borderId="16" xfId="0" applyNumberFormat="1" applyFont="1" applyFill="1" applyBorder="1" applyAlignment="1">
      <alignment wrapText="1"/>
    </xf>
    <xf numFmtId="182" fontId="4" fillId="0" borderId="12" xfId="0" applyNumberFormat="1" applyFont="1" applyFill="1" applyBorder="1" applyAlignment="1">
      <alignment wrapText="1"/>
    </xf>
    <xf numFmtId="182" fontId="4" fillId="0" borderId="18" xfId="0" applyNumberFormat="1" applyFont="1" applyFill="1" applyBorder="1" applyAlignment="1">
      <alignment/>
    </xf>
    <xf numFmtId="182" fontId="5" fillId="24" borderId="11" xfId="0" applyNumberFormat="1" applyFont="1" applyFill="1" applyBorder="1" applyAlignment="1">
      <alignment/>
    </xf>
    <xf numFmtId="0" fontId="5" fillId="24" borderId="15" xfId="0" applyFont="1" applyFill="1" applyBorder="1" applyAlignment="1">
      <alignment wrapText="1"/>
    </xf>
    <xf numFmtId="182" fontId="4" fillId="24" borderId="15" xfId="0" applyNumberFormat="1" applyFont="1" applyFill="1" applyBorder="1" applyAlignment="1">
      <alignment/>
    </xf>
    <xf numFmtId="181" fontId="4" fillId="24" borderId="15" xfId="0" applyNumberFormat="1" applyFont="1" applyFill="1" applyBorder="1" applyAlignment="1">
      <alignment/>
    </xf>
    <xf numFmtId="181" fontId="3" fillId="0" borderId="14" xfId="0" applyNumberFormat="1" applyFont="1" applyFill="1" applyBorder="1" applyAlignment="1">
      <alignment/>
    </xf>
    <xf numFmtId="181" fontId="3" fillId="0" borderId="15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5" xfId="0" applyFont="1" applyFill="1" applyBorder="1" applyAlignment="1">
      <alignment wrapText="1"/>
    </xf>
    <xf numFmtId="182" fontId="3" fillId="0" borderId="14" xfId="0" applyNumberFormat="1" applyFont="1" applyFill="1" applyBorder="1" applyAlignment="1">
      <alignment/>
    </xf>
    <xf numFmtId="182" fontId="3" fillId="0" borderId="15" xfId="0" applyNumberFormat="1" applyFont="1" applyFill="1" applyBorder="1" applyAlignment="1">
      <alignment wrapText="1"/>
    </xf>
    <xf numFmtId="182" fontId="3" fillId="0" borderId="14" xfId="0" applyNumberFormat="1" applyFont="1" applyFill="1" applyBorder="1" applyAlignment="1">
      <alignment wrapText="1"/>
    </xf>
    <xf numFmtId="180" fontId="0" fillId="0" borderId="0" xfId="0" applyNumberFormat="1" applyFont="1" applyFill="1" applyBorder="1" applyAlignment="1">
      <alignment/>
    </xf>
    <xf numFmtId="183" fontId="12" fillId="0" borderId="0" xfId="0" applyNumberFormat="1" applyFont="1" applyFill="1" applyBorder="1" applyAlignment="1">
      <alignment/>
    </xf>
    <xf numFmtId="182" fontId="5" fillId="24" borderId="13" xfId="0" applyNumberFormat="1" applyFont="1" applyFill="1" applyBorder="1" applyAlignment="1">
      <alignment/>
    </xf>
    <xf numFmtId="181" fontId="3" fillId="0" borderId="10" xfId="0" applyNumberFormat="1" applyFont="1" applyFill="1" applyBorder="1" applyAlignment="1">
      <alignment horizontal="right"/>
    </xf>
    <xf numFmtId="182" fontId="13" fillId="0" borderId="12" xfId="0" applyNumberFormat="1" applyFont="1" applyFill="1" applyBorder="1" applyAlignment="1">
      <alignment/>
    </xf>
    <xf numFmtId="181" fontId="13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horizontal="left" wrapText="1" indent="4"/>
    </xf>
    <xf numFmtId="182" fontId="13" fillId="0" borderId="12" xfId="0" applyNumberFormat="1" applyFont="1" applyFill="1" applyBorder="1" applyAlignment="1">
      <alignment wrapText="1"/>
    </xf>
    <xf numFmtId="182" fontId="4" fillId="24" borderId="13" xfId="0" applyNumberFormat="1" applyFont="1" applyFill="1" applyBorder="1" applyAlignment="1">
      <alignment vertical="center" wrapText="1"/>
    </xf>
    <xf numFmtId="181" fontId="4" fillId="25" borderId="10" xfId="0" applyNumberFormat="1" applyFont="1" applyFill="1" applyBorder="1" applyAlignment="1">
      <alignment/>
    </xf>
    <xf numFmtId="0" fontId="0" fillId="0" borderId="0" xfId="52" applyFont="1" applyBorder="1" applyAlignment="1" applyProtection="1">
      <alignment vertical="center" wrapText="1"/>
      <protection/>
    </xf>
    <xf numFmtId="182" fontId="0" fillId="0" borderId="0" xfId="52" applyNumberFormat="1" applyFont="1" applyBorder="1" applyAlignment="1" applyProtection="1">
      <alignment vertical="center" wrapText="1"/>
      <protection/>
    </xf>
    <xf numFmtId="0" fontId="4" fillId="0" borderId="0" xfId="0" applyFont="1" applyFill="1" applyAlignment="1">
      <alignment/>
    </xf>
    <xf numFmtId="181" fontId="34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wrapText="1"/>
    </xf>
    <xf numFmtId="182" fontId="13" fillId="0" borderId="10" xfId="0" applyNumberFormat="1" applyFont="1" applyFill="1" applyBorder="1" applyAlignment="1">
      <alignment/>
    </xf>
    <xf numFmtId="181" fontId="4" fillId="24" borderId="14" xfId="0" applyNumberFormat="1" applyFont="1" applyFill="1" applyBorder="1" applyAlignment="1">
      <alignment/>
    </xf>
    <xf numFmtId="181" fontId="4" fillId="24" borderId="19" xfId="0" applyNumberFormat="1" applyFont="1" applyFill="1" applyBorder="1" applyAlignment="1">
      <alignment/>
    </xf>
    <xf numFmtId="0" fontId="5" fillId="24" borderId="20" xfId="0" applyFont="1" applyFill="1" applyBorder="1" applyAlignment="1">
      <alignment wrapText="1"/>
    </xf>
    <xf numFmtId="0" fontId="3" fillId="0" borderId="21" xfId="0" applyFont="1" applyFill="1" applyBorder="1" applyAlignment="1">
      <alignment wrapText="1"/>
    </xf>
    <xf numFmtId="181" fontId="4" fillId="24" borderId="16" xfId="0" applyNumberFormat="1" applyFont="1" applyFill="1" applyBorder="1" applyAlignment="1">
      <alignment/>
    </xf>
    <xf numFmtId="182" fontId="5" fillId="24" borderId="20" xfId="0" applyNumberFormat="1" applyFont="1" applyFill="1" applyBorder="1" applyAlignment="1">
      <alignment wrapText="1"/>
    </xf>
    <xf numFmtId="182" fontId="4" fillId="24" borderId="22" xfId="0" applyNumberFormat="1" applyFont="1" applyFill="1" applyBorder="1" applyAlignment="1">
      <alignment/>
    </xf>
    <xf numFmtId="182" fontId="4" fillId="24" borderId="19" xfId="0" applyNumberFormat="1" applyFont="1" applyFill="1" applyBorder="1" applyAlignment="1">
      <alignment horizontal="right"/>
    </xf>
    <xf numFmtId="182" fontId="3" fillId="0" borderId="21" xfId="0" applyNumberFormat="1" applyFont="1" applyFill="1" applyBorder="1" applyAlignment="1">
      <alignment wrapText="1"/>
    </xf>
    <xf numFmtId="182" fontId="3" fillId="0" borderId="23" xfId="0" applyNumberFormat="1" applyFont="1" applyFill="1" applyBorder="1" applyAlignment="1">
      <alignment horizontal="right"/>
    </xf>
    <xf numFmtId="182" fontId="3" fillId="0" borderId="24" xfId="0" applyNumberFormat="1" applyFont="1" applyFill="1" applyBorder="1" applyAlignment="1">
      <alignment/>
    </xf>
    <xf numFmtId="181" fontId="3" fillId="0" borderId="21" xfId="0" applyNumberFormat="1" applyFont="1" applyFill="1" applyBorder="1" applyAlignment="1">
      <alignment/>
    </xf>
    <xf numFmtId="181" fontId="3" fillId="0" borderId="25" xfId="0" applyNumberFormat="1" applyFont="1" applyFill="1" applyBorder="1" applyAlignment="1">
      <alignment/>
    </xf>
    <xf numFmtId="181" fontId="3" fillId="0" borderId="23" xfId="0" applyNumberFormat="1" applyFont="1" applyFill="1" applyBorder="1" applyAlignment="1">
      <alignment/>
    </xf>
    <xf numFmtId="181" fontId="3" fillId="25" borderId="10" xfId="0" applyNumberFormat="1" applyFont="1" applyFill="1" applyBorder="1" applyAlignment="1">
      <alignment/>
    </xf>
    <xf numFmtId="182" fontId="0" fillId="0" borderId="10" xfId="0" applyNumberFormat="1" applyFont="1" applyFill="1" applyBorder="1" applyAlignment="1">
      <alignment/>
    </xf>
    <xf numFmtId="182" fontId="4" fillId="24" borderId="19" xfId="0" applyNumberFormat="1" applyFont="1" applyFill="1" applyBorder="1" applyAlignment="1">
      <alignment/>
    </xf>
    <xf numFmtId="182" fontId="3" fillId="0" borderId="26" xfId="0" applyNumberFormat="1" applyFont="1" applyFill="1" applyBorder="1" applyAlignment="1">
      <alignment/>
    </xf>
    <xf numFmtId="182" fontId="3" fillId="0" borderId="15" xfId="0" applyNumberFormat="1" applyFont="1" applyFill="1" applyBorder="1" applyAlignment="1">
      <alignment/>
    </xf>
    <xf numFmtId="181" fontId="58" fillId="0" borderId="10" xfId="0" applyNumberFormat="1" applyFont="1" applyFill="1" applyBorder="1" applyAlignment="1">
      <alignment/>
    </xf>
    <xf numFmtId="182" fontId="3" fillId="0" borderId="27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2">
    <dxf>
      <fill>
        <patternFill patternType="solid">
          <bgColor indexed="9"/>
        </patternFill>
      </fill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975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505"/>
          <c:w val="0.85825"/>
          <c:h val="0.62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фінансування'!$C$90:$C$94</c:f>
              <c:numCache>
                <c:ptCount val="4"/>
                <c:pt idx="0">
                  <c:v>58916.3</c:v>
                </c:pt>
                <c:pt idx="1">
                  <c:v>49463.1</c:v>
                </c:pt>
                <c:pt idx="2">
                  <c:v>2121.4</c:v>
                </c:pt>
                <c:pt idx="3">
                  <c:v>7331.800000000005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фінансування'!$D$90:$D$94</c:f>
              <c:numCache>
                <c:ptCount val="4"/>
                <c:pt idx="0">
                  <c:v>23355.500000000004</c:v>
                </c:pt>
                <c:pt idx="1">
                  <c:v>19807.899999999998</c:v>
                </c:pt>
                <c:pt idx="2">
                  <c:v>795.6999999999998</c:v>
                </c:pt>
                <c:pt idx="3">
                  <c:v>2751.900000000006</c:v>
                </c:pt>
              </c:numCache>
            </c:numRef>
          </c:val>
          <c:shape val="box"/>
        </c:ser>
        <c:shape val="box"/>
        <c:axId val="36265679"/>
        <c:axId val="57955656"/>
      </c:bar3DChart>
      <c:catAx>
        <c:axId val="362656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7955656"/>
        <c:crosses val="autoZero"/>
        <c:auto val="1"/>
        <c:lblOffset val="100"/>
        <c:tickLblSkip val="1"/>
        <c:noMultiLvlLbl val="0"/>
      </c:catAx>
      <c:valAx>
        <c:axId val="5795565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26567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5"/>
          <c:y val="0.92875"/>
          <c:w val="0.29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15775"/>
          <c:w val="0.84375"/>
          <c:h val="0.65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8"/>
                <c:pt idx="0">
                  <c:v>429193.5</c:v>
                </c:pt>
                <c:pt idx="1">
                  <c:v>187918.3</c:v>
                </c:pt>
                <c:pt idx="2">
                  <c:v>298081.6</c:v>
                </c:pt>
                <c:pt idx="3">
                  <c:v>85.7</c:v>
                </c:pt>
                <c:pt idx="4">
                  <c:v>28024.9</c:v>
                </c:pt>
                <c:pt idx="5">
                  <c:v>71654.8</c:v>
                </c:pt>
                <c:pt idx="6">
                  <c:v>14740</c:v>
                </c:pt>
                <c:pt idx="7">
                  <c:v>16606.500000000015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8"/>
                <c:pt idx="0">
                  <c:v>178441.80000000002</c:v>
                </c:pt>
                <c:pt idx="1">
                  <c:v>76450.4</c:v>
                </c:pt>
                <c:pt idx="2">
                  <c:v>126274.19999999998</c:v>
                </c:pt>
                <c:pt idx="3">
                  <c:v>30.199999999999996</c:v>
                </c:pt>
                <c:pt idx="4">
                  <c:v>12674.000000000004</c:v>
                </c:pt>
                <c:pt idx="5">
                  <c:v>29479.499999999996</c:v>
                </c:pt>
                <c:pt idx="6">
                  <c:v>5565.700000000001</c:v>
                </c:pt>
                <c:pt idx="7">
                  <c:v>4418.200000000041</c:v>
                </c:pt>
              </c:numCache>
            </c:numRef>
          </c:val>
          <c:shape val="box"/>
        </c:ser>
        <c:shape val="box"/>
        <c:axId val="51838857"/>
        <c:axId val="63896530"/>
      </c:bar3DChart>
      <c:catAx>
        <c:axId val="518388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3896530"/>
        <c:crosses val="autoZero"/>
        <c:auto val="1"/>
        <c:lblOffset val="100"/>
        <c:tickLblSkip val="1"/>
        <c:noMultiLvlLbl val="0"/>
      </c:catAx>
      <c:valAx>
        <c:axId val="6389653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83885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85"/>
          <c:y val="0.921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675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57"/>
          <c:w val="0.92925"/>
          <c:h val="0.657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8"/>
                <c:pt idx="0">
                  <c:v>254068</c:v>
                </c:pt>
                <c:pt idx="1">
                  <c:v>190940</c:v>
                </c:pt>
                <c:pt idx="2">
                  <c:v>186641.3</c:v>
                </c:pt>
                <c:pt idx="3">
                  <c:v>20954.1</c:v>
                </c:pt>
                <c:pt idx="4">
                  <c:v>3917.9</c:v>
                </c:pt>
                <c:pt idx="5">
                  <c:v>27804.4</c:v>
                </c:pt>
                <c:pt idx="6">
                  <c:v>1591.6</c:v>
                </c:pt>
                <c:pt idx="7">
                  <c:v>13158.70000000001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8"/>
                <c:pt idx="0">
                  <c:v>99253.5</c:v>
                </c:pt>
                <c:pt idx="1">
                  <c:v>72367</c:v>
                </c:pt>
                <c:pt idx="2">
                  <c:v>75491.2</c:v>
                </c:pt>
                <c:pt idx="3">
                  <c:v>7819.900000000001</c:v>
                </c:pt>
                <c:pt idx="4">
                  <c:v>1629.7</c:v>
                </c:pt>
                <c:pt idx="5">
                  <c:v>11694.300000000001</c:v>
                </c:pt>
                <c:pt idx="6">
                  <c:v>636.5999999999999</c:v>
                </c:pt>
                <c:pt idx="7">
                  <c:v>1981.7999999999997</c:v>
                </c:pt>
              </c:numCache>
            </c:numRef>
          </c:val>
          <c:shape val="box"/>
        </c:ser>
        <c:shape val="box"/>
        <c:axId val="38197859"/>
        <c:axId val="8236412"/>
      </c:bar3DChart>
      <c:catAx>
        <c:axId val="381978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8236412"/>
        <c:crosses val="autoZero"/>
        <c:auto val="1"/>
        <c:lblOffset val="100"/>
        <c:tickLblSkip val="1"/>
        <c:noMultiLvlLbl val="0"/>
      </c:catAx>
      <c:valAx>
        <c:axId val="823641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19785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475"/>
          <c:y val="0.9215"/>
          <c:w val="0.269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55"/>
          <c:w val="0.87025"/>
          <c:h val="0.592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6"/>
                <c:pt idx="0">
                  <c:v>50285.299999999996</c:v>
                </c:pt>
                <c:pt idx="1">
                  <c:v>35016.6</c:v>
                </c:pt>
                <c:pt idx="2">
                  <c:v>3384.4</c:v>
                </c:pt>
                <c:pt idx="3">
                  <c:v>929.3</c:v>
                </c:pt>
                <c:pt idx="4">
                  <c:v>60.8</c:v>
                </c:pt>
                <c:pt idx="5">
                  <c:v>10894.199999999999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6"/>
                <c:pt idx="0">
                  <c:v>19396.5</c:v>
                </c:pt>
                <c:pt idx="1">
                  <c:v>13708.5</c:v>
                </c:pt>
                <c:pt idx="2">
                  <c:v>1202.2</c:v>
                </c:pt>
                <c:pt idx="3">
                  <c:v>286.30000000000007</c:v>
                </c:pt>
                <c:pt idx="4">
                  <c:v>25.5</c:v>
                </c:pt>
                <c:pt idx="5">
                  <c:v>4174</c:v>
                </c:pt>
              </c:numCache>
            </c:numRef>
          </c:val>
          <c:shape val="box"/>
        </c:ser>
        <c:shape val="box"/>
        <c:axId val="7018845"/>
        <c:axId val="63169606"/>
      </c:bar3DChart>
      <c:catAx>
        <c:axId val="70188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3169606"/>
        <c:crosses val="autoZero"/>
        <c:auto val="1"/>
        <c:lblOffset val="100"/>
        <c:tickLblSkip val="1"/>
        <c:noMultiLvlLbl val="0"/>
      </c:catAx>
      <c:valAx>
        <c:axId val="6316960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01884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725"/>
          <c:y val="0.92075"/>
          <c:w val="0.28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6525"/>
          <c:y val="0.033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55"/>
          <c:w val="0.86375"/>
          <c:h val="0.634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фінансування'!$C$51:$C$57</c:f>
              <c:numCache>
                <c:ptCount val="6"/>
                <c:pt idx="0">
                  <c:v>16312.5</c:v>
                </c:pt>
                <c:pt idx="1">
                  <c:v>10328.7</c:v>
                </c:pt>
                <c:pt idx="2">
                  <c:v>12</c:v>
                </c:pt>
                <c:pt idx="3">
                  <c:v>287</c:v>
                </c:pt>
                <c:pt idx="4">
                  <c:v>933.1</c:v>
                </c:pt>
                <c:pt idx="5">
                  <c:v>4751.699999999999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фінансування'!$D$51:$D$57</c:f>
              <c:numCache>
                <c:ptCount val="6"/>
                <c:pt idx="0">
                  <c:v>5960.899999999999</c:v>
                </c:pt>
                <c:pt idx="1">
                  <c:v>3807.5999999999995</c:v>
                </c:pt>
                <c:pt idx="3">
                  <c:v>109.20000000000002</c:v>
                </c:pt>
                <c:pt idx="4">
                  <c:v>343.59999999999997</c:v>
                </c:pt>
                <c:pt idx="5">
                  <c:v>1700.4999999999993</c:v>
                </c:pt>
              </c:numCache>
            </c:numRef>
          </c:val>
          <c:shape val="box"/>
        </c:ser>
        <c:shape val="box"/>
        <c:axId val="31655543"/>
        <c:axId val="16464432"/>
      </c:bar3DChart>
      <c:catAx>
        <c:axId val="316555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6464432"/>
        <c:crosses val="autoZero"/>
        <c:auto val="1"/>
        <c:lblOffset val="100"/>
        <c:tickLblSkip val="2"/>
        <c:noMultiLvlLbl val="0"/>
      </c:catAx>
      <c:valAx>
        <c:axId val="1646443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65554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4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5425"/>
          <c:w val="0.8775"/>
          <c:h val="0.653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фінансування'!$C$59:$C$64</c:f>
              <c:numCache>
                <c:ptCount val="6"/>
                <c:pt idx="0">
                  <c:v>6016.2</c:v>
                </c:pt>
                <c:pt idx="1">
                  <c:v>1642.6000000000001</c:v>
                </c:pt>
                <c:pt idx="2">
                  <c:v>331.8</c:v>
                </c:pt>
                <c:pt idx="3">
                  <c:v>627.5</c:v>
                </c:pt>
                <c:pt idx="4">
                  <c:v>3216.2</c:v>
                </c:pt>
                <c:pt idx="5">
                  <c:v>198.09999999999962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фінансування'!$D$59:$D$64</c:f>
              <c:numCache>
                <c:ptCount val="6"/>
                <c:pt idx="0">
                  <c:v>868.6999999999999</c:v>
                </c:pt>
                <c:pt idx="1">
                  <c:v>651.6999999999999</c:v>
                </c:pt>
                <c:pt idx="3">
                  <c:v>191.7</c:v>
                </c:pt>
                <c:pt idx="5">
                  <c:v>25.30000000000001</c:v>
                </c:pt>
              </c:numCache>
            </c:numRef>
          </c:val>
          <c:shape val="box"/>
        </c:ser>
        <c:shape val="box"/>
        <c:axId val="13962161"/>
        <c:axId val="58550586"/>
      </c:bar3DChart>
      <c:catAx>
        <c:axId val="139621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8550586"/>
        <c:crosses val="autoZero"/>
        <c:auto val="1"/>
        <c:lblOffset val="100"/>
        <c:tickLblSkip val="1"/>
        <c:noMultiLvlLbl val="0"/>
      </c:catAx>
      <c:valAx>
        <c:axId val="5855058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96216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1025"/>
          <c:y val="0.92275"/>
          <c:w val="0.29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0875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1495"/>
          <c:w val="0.8575"/>
          <c:h val="0.66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фінансування'!$C$95</c:f>
              <c:numCache>
                <c:ptCount val="1"/>
                <c:pt idx="0">
                  <c:v>79525.09999999999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фінансування'!$D$95</c:f>
              <c:numCache>
                <c:ptCount val="1"/>
                <c:pt idx="0">
                  <c:v>36531.99999999999</c:v>
                </c:pt>
              </c:numCache>
            </c:numRef>
          </c:val>
          <c:shape val="box"/>
        </c:ser>
        <c:shape val="box"/>
        <c:axId val="57193227"/>
        <c:axId val="44976996"/>
      </c:bar3DChart>
      <c:catAx>
        <c:axId val="571932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4976996"/>
        <c:crosses val="autoZero"/>
        <c:auto val="1"/>
        <c:lblOffset val="100"/>
        <c:tickLblSkip val="1"/>
        <c:noMultiLvlLbl val="0"/>
      </c:catAx>
      <c:valAx>
        <c:axId val="4497699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19322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1"/>
          <c:y val="0.9255"/>
          <c:w val="0.2967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7"/>
          <c:w val="0.851"/>
          <c:h val="0.587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фінансування'!$C$59,'аналіз фінансування'!$C$90,'аналіз фінансування'!$C$95)</c:f>
              <c:numCache>
                <c:ptCount val="7"/>
                <c:pt idx="0">
                  <c:v>429193.5</c:v>
                </c:pt>
                <c:pt idx="1">
                  <c:v>254068</c:v>
                </c:pt>
                <c:pt idx="2">
                  <c:v>50285.299999999996</c:v>
                </c:pt>
                <c:pt idx="3">
                  <c:v>16312.5</c:v>
                </c:pt>
                <c:pt idx="4">
                  <c:v>6016.2</c:v>
                </c:pt>
                <c:pt idx="5">
                  <c:v>58916.3</c:v>
                </c:pt>
                <c:pt idx="6">
                  <c:v>79525.09999999999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фінансування'!$D$59,'аналіз фінансування'!$D$90,'аналіз фінансування'!$D$95)</c:f>
              <c:numCache>
                <c:ptCount val="7"/>
                <c:pt idx="0">
                  <c:v>178441.80000000002</c:v>
                </c:pt>
                <c:pt idx="1">
                  <c:v>99253.5</c:v>
                </c:pt>
                <c:pt idx="2">
                  <c:v>19396.5</c:v>
                </c:pt>
                <c:pt idx="3">
                  <c:v>5960.899999999999</c:v>
                </c:pt>
                <c:pt idx="4">
                  <c:v>868.6999999999999</c:v>
                </c:pt>
                <c:pt idx="5">
                  <c:v>23355.500000000004</c:v>
                </c:pt>
                <c:pt idx="6">
                  <c:v>36531.99999999999</c:v>
                </c:pt>
              </c:numCache>
            </c:numRef>
          </c:val>
          <c:shape val="box"/>
        </c:ser>
        <c:shape val="box"/>
        <c:axId val="2139781"/>
        <c:axId val="19258030"/>
      </c:bar3DChart>
      <c:catAx>
        <c:axId val="21397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9258030"/>
        <c:crosses val="autoZero"/>
        <c:auto val="1"/>
        <c:lblOffset val="100"/>
        <c:tickLblSkip val="1"/>
        <c:noMultiLvlLbl val="0"/>
      </c:catAx>
      <c:valAx>
        <c:axId val="1925803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3978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5"/>
          <c:y val="0.89125"/>
          <c:w val="0.2912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4"/>
          <c:y val="-0.001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1505"/>
          <c:w val="0.84125"/>
          <c:h val="0.656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фінансування'!$A$151:$A$156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фінансування'!$C$151:$C$156</c:f>
              <c:numCache>
                <c:ptCount val="6"/>
                <c:pt idx="0">
                  <c:v>589171.4999999998</c:v>
                </c:pt>
                <c:pt idx="1">
                  <c:v>114196.40000000001</c:v>
                </c:pt>
                <c:pt idx="2">
                  <c:v>32632.300000000003</c:v>
                </c:pt>
                <c:pt idx="3">
                  <c:v>29166.2</c:v>
                </c:pt>
                <c:pt idx="4">
                  <c:v>21133.1</c:v>
                </c:pt>
                <c:pt idx="5">
                  <c:v>609411.5000000005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фінансування'!$A$151:$A$156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фінансування'!$D$151:$D$156</c:f>
              <c:numCache>
                <c:ptCount val="6"/>
                <c:pt idx="0">
                  <c:v>242856.3</c:v>
                </c:pt>
                <c:pt idx="1">
                  <c:v>46364.69999999999</c:v>
                </c:pt>
                <c:pt idx="2">
                  <c:v>14435.400000000005</c:v>
                </c:pt>
                <c:pt idx="3">
                  <c:v>9371</c:v>
                </c:pt>
                <c:pt idx="4">
                  <c:v>7850.900000000001</c:v>
                </c:pt>
                <c:pt idx="5">
                  <c:v>212784.30000000002</c:v>
                </c:pt>
              </c:numCache>
            </c:numRef>
          </c:val>
          <c:shape val="box"/>
        </c:ser>
        <c:shape val="box"/>
        <c:axId val="39104543"/>
        <c:axId val="16396568"/>
      </c:bar3DChart>
      <c:catAx>
        <c:axId val="391045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6396568"/>
        <c:crosses val="autoZero"/>
        <c:auto val="1"/>
        <c:lblOffset val="100"/>
        <c:tickLblSkip val="1"/>
        <c:noMultiLvlLbl val="0"/>
      </c:catAx>
      <c:valAx>
        <c:axId val="1639656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10454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05"/>
          <c:y val="0.9145"/>
          <c:w val="0.297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47625" y="66675"/>
        <a:ext cx="1158240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14</xdr:col>
      <xdr:colOff>676275</xdr:colOff>
      <xdr:row>32</xdr:row>
      <xdr:rowOff>114300</xdr:rowOff>
    </xdr:to>
    <xdr:graphicFrame>
      <xdr:nvGraphicFramePr>
        <xdr:cNvPr id="1" name="Диаграмма 1"/>
        <xdr:cNvGraphicFramePr/>
      </xdr:nvGraphicFramePr>
      <xdr:xfrm>
        <a:off x="47625" y="38100"/>
        <a:ext cx="102298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66825" y="676275"/>
        <a:ext cx="86201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822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47625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441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6"/>
  <sheetViews>
    <sheetView tabSelected="1" zoomScale="80" zoomScaleNormal="80" zoomScalePageLayoutView="0" workbookViewId="0" topLeftCell="A1">
      <pane xSplit="1" ySplit="5" topLeftCell="B152" activePane="bottomRight" state="frozen"/>
      <selection pane="topLeft" activeCell="A1" sqref="A1"/>
      <selection pane="topRight" activeCell="B1" sqref="B1"/>
      <selection pane="bottomLeft" activeCell="A7" sqref="A7"/>
      <selection pane="bottomRight" activeCell="D161" sqref="D161"/>
    </sheetView>
  </sheetViews>
  <sheetFormatPr defaultColWidth="9.00390625" defaultRowHeight="12.75"/>
  <cols>
    <col min="1" max="1" width="66.875" style="33" customWidth="1"/>
    <col min="2" max="2" width="19.00390625" style="33" customWidth="1"/>
    <col min="3" max="3" width="18.625" style="11" customWidth="1"/>
    <col min="4" max="4" width="19.00390625" style="11" customWidth="1"/>
    <col min="5" max="5" width="17.25390625" style="11" customWidth="1"/>
    <col min="6" max="6" width="19.375" style="11" customWidth="1"/>
    <col min="7" max="7" width="19.625" style="11" customWidth="1"/>
    <col min="8" max="8" width="19.75390625" style="1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375" style="11" bestFit="1" customWidth="1"/>
    <col min="13" max="16384" width="9.125" style="11" customWidth="1"/>
  </cols>
  <sheetData>
    <row r="1" spans="1:9" ht="30">
      <c r="A1" s="135" t="s">
        <v>122</v>
      </c>
      <c r="B1" s="135"/>
      <c r="C1" s="135"/>
      <c r="D1" s="135"/>
      <c r="E1" s="135"/>
      <c r="F1" s="135"/>
      <c r="G1" s="135"/>
      <c r="H1" s="135"/>
      <c r="I1" s="135"/>
    </row>
    <row r="2" spans="1:8" ht="9.75" customHeight="1" thickBot="1">
      <c r="A2" s="24"/>
      <c r="B2" s="24"/>
      <c r="C2" s="10"/>
      <c r="D2" s="10"/>
      <c r="E2" s="10"/>
      <c r="F2" s="10"/>
      <c r="G2" s="10"/>
      <c r="H2" s="10"/>
    </row>
    <row r="3" spans="1:9" ht="29.25" customHeight="1">
      <c r="A3" s="139" t="s">
        <v>49</v>
      </c>
      <c r="B3" s="136" t="s">
        <v>119</v>
      </c>
      <c r="C3" s="136" t="s">
        <v>112</v>
      </c>
      <c r="D3" s="136" t="s">
        <v>28</v>
      </c>
      <c r="E3" s="136" t="s">
        <v>27</v>
      </c>
      <c r="F3" s="136" t="s">
        <v>120</v>
      </c>
      <c r="G3" s="136" t="s">
        <v>114</v>
      </c>
      <c r="H3" s="136" t="s">
        <v>121</v>
      </c>
      <c r="I3" s="136" t="s">
        <v>113</v>
      </c>
    </row>
    <row r="4" spans="1:9" ht="24.75" customHeight="1">
      <c r="A4" s="140"/>
      <c r="B4" s="137"/>
      <c r="C4" s="137"/>
      <c r="D4" s="137"/>
      <c r="E4" s="137"/>
      <c r="F4" s="137"/>
      <c r="G4" s="137"/>
      <c r="H4" s="137"/>
      <c r="I4" s="137"/>
    </row>
    <row r="5" spans="1:9" ht="39" customHeight="1" thickBot="1">
      <c r="A5" s="141"/>
      <c r="B5" s="138"/>
      <c r="C5" s="138"/>
      <c r="D5" s="138"/>
      <c r="E5" s="138"/>
      <c r="F5" s="138"/>
      <c r="G5" s="138"/>
      <c r="H5" s="138"/>
      <c r="I5" s="138"/>
    </row>
    <row r="6" spans="1:9" ht="18.75" thickBot="1">
      <c r="A6" s="25" t="s">
        <v>33</v>
      </c>
      <c r="B6" s="49">
        <v>272057.3</v>
      </c>
      <c r="C6" s="50">
        <f>426773.1+25+188.4+2200.9+6.1-1051.6+141.1</f>
        <v>428283</v>
      </c>
      <c r="D6" s="51">
        <f>3665.2+5419.3+785.5+220.1+4705.1+6727.5+675.5+217.6+0.2+117.8+63.8+2988.6+54.7+4050.2+6796.2+2.3+3434.8+4933.2+160.9+167.4+314.1+2557.2+10885.5+1595.8+93.6-0.1+283.5+1215.4+0.6+12639.1+1592.4+1725+382.8+2437.5+657.3+293+1110.6+319.6+4653.1+9115.3+2196.5+1200.1+555.2+54+289.2+375.2+3.5+816.6+1693+5225.2+7119.8+953.9+23.9+435.6+590.3+267.1+7321.6+7083.6+846.3+1133+0.2-0.3+268.9+7.9+473.7+10209.7+758.2+212.3+2689.8+41.5+25.8+2050+255.5+786.6+23738.6+706.6+788.4+78.8+108.9-0.1+0.2+1550.5+93.8+823.1+119.1+7741.1+114.5+190+7727.7+14528.5+462.3+362.2+553.3+38.5+481.1+3.7+13890.3+5001+39.9+4.8+0.1+1223.2+110.3+60.6+283.6+0.7+333.3+1860.9+4481.8+357.9+530.4+9.1+287.1+12.3+824.9+3788.7+1076.7</f>
        <v>247409.00000000003</v>
      </c>
      <c r="E6" s="3">
        <f>D6/D150*100</f>
        <v>30.62788596046002</v>
      </c>
      <c r="F6" s="3">
        <f>D6/B6*100</f>
        <v>90.94003358851243</v>
      </c>
      <c r="G6" s="3">
        <f aca="true" t="shared" si="0" ref="G6:G43">D6/C6*100</f>
        <v>57.7676442912747</v>
      </c>
      <c r="H6" s="51">
        <f>B6-D6</f>
        <v>24648.29999999996</v>
      </c>
      <c r="I6" s="51">
        <f aca="true" t="shared" si="1" ref="I6:I43">C6-D6</f>
        <v>180873.99999999997</v>
      </c>
    </row>
    <row r="7" spans="1:9" s="41" customFormat="1" ht="18.75">
      <c r="A7" s="112" t="s">
        <v>98</v>
      </c>
      <c r="B7" s="105">
        <v>121884.4</v>
      </c>
      <c r="C7" s="102">
        <f>185717.4+2200.9</f>
        <v>187918.3</v>
      </c>
      <c r="D7" s="113">
        <f>5419.3+86.3+97.4+56.7+6727.5+560.1+2.9+0.2+1.9+63.8+1046.3+6719.3+1648.4+0.1+3694.8+239.7+583.7+0.6+6625.2+702.1+382.8+87+367+343.9+3400.9+728.9+60.5+24.4+35.2+200.9+3.5+875.7+5583.4+116.6+1.2+51+154.1+185+7008.2+781.4+9+27.4+5784.8+41.1+1904.1+40+25.8+43.2+13765.2+44.5+90.5+6.9+0.2+1354.2+90.1+211.3+7741.1+79.7+0.5+14284+271.3+5.1+51.3+1.4+117.4+5001+4.8+3.6+29.1+10+85+1344.7+5.3+72.4+8.4+114.2+1598.2+12.4</f>
        <v>108947.09999999999</v>
      </c>
      <c r="E7" s="103">
        <f>D7/D6*100</f>
        <v>44.03522103076282</v>
      </c>
      <c r="F7" s="103">
        <f>D7/B7*100</f>
        <v>89.38559815694215</v>
      </c>
      <c r="G7" s="103">
        <f>D7/C7*100</f>
        <v>57.97577990009488</v>
      </c>
      <c r="H7" s="113">
        <f>B7-D7</f>
        <v>12937.300000000003</v>
      </c>
      <c r="I7" s="113">
        <f t="shared" si="1"/>
        <v>78971.2</v>
      </c>
    </row>
    <row r="8" spans="1:9" ht="18">
      <c r="A8" s="26" t="s">
        <v>3</v>
      </c>
      <c r="B8" s="46">
        <f>189226.3+17.8+3.9</f>
        <v>189247.99999999997</v>
      </c>
      <c r="C8" s="47">
        <v>298081.6</v>
      </c>
      <c r="D8" s="48">
        <f>3665.2+5419.3+4645.9+6727.5+3.3+4022.1+5553.6+3348.6+2163.6+10156.4+7.2+0.6+10315.5+1+3228.6+8514.3+1326+3.5+12.8+5216.4+5594.6+5651.4+7023.1+2.4+8.5+10209.4+23441.7+11+0.7+1305.4+14.8+7741.1+6989.1+14284+12975.3+5001-0.2+978.2+60.6+1860.9+4481.8+5.3+3681.5+998.5</f>
        <v>186651.49999999994</v>
      </c>
      <c r="E8" s="1">
        <f>D8/D6*100</f>
        <v>75.44248592411752</v>
      </c>
      <c r="F8" s="1">
        <f>D8/B8*100</f>
        <v>98.62799078457894</v>
      </c>
      <c r="G8" s="1">
        <f t="shared" si="0"/>
        <v>62.61758525182365</v>
      </c>
      <c r="H8" s="48">
        <f>B8-D8</f>
        <v>2596.500000000029</v>
      </c>
      <c r="I8" s="48">
        <f t="shared" si="1"/>
        <v>111430.10000000003</v>
      </c>
    </row>
    <row r="9" spans="1:9" ht="18">
      <c r="A9" s="26" t="s">
        <v>2</v>
      </c>
      <c r="B9" s="46">
        <v>52.6</v>
      </c>
      <c r="C9" s="47">
        <v>85.7</v>
      </c>
      <c r="D9" s="48">
        <f>4+2.9+1.6+0.5+0.5+1.9+1.2+1.8+1.6+0.7+2+3.7+0.1+1.9+2.9+1.2+0.4+1.1+0.2+0.6+1.5+1.7+0.3+0.5+1.3</f>
        <v>36.099999999999994</v>
      </c>
      <c r="E9" s="12">
        <f>D9/D6*100</f>
        <v>0.01459122343972935</v>
      </c>
      <c r="F9" s="128">
        <f>D9/B9*100</f>
        <v>68.63117870722432</v>
      </c>
      <c r="G9" s="1">
        <f t="shared" si="0"/>
        <v>42.12368728121353</v>
      </c>
      <c r="H9" s="48">
        <f aca="true" t="shared" si="2" ref="H9:H43">B9-D9</f>
        <v>16.500000000000007</v>
      </c>
      <c r="I9" s="48">
        <f t="shared" si="1"/>
        <v>49.60000000000001</v>
      </c>
    </row>
    <row r="10" spans="1:9" ht="18">
      <c r="A10" s="26" t="s">
        <v>1</v>
      </c>
      <c r="B10" s="46">
        <v>18050.6</v>
      </c>
      <c r="C10" s="47">
        <f>28052.9-28-1051.6+141.1</f>
        <v>27114.4</v>
      </c>
      <c r="D10" s="52">
        <f>345.3+106.4+54.5+56.4+92.4+115.9+196.4+52.1+68.7+86.2+0.1+55.3+64.8+145.1+546+625.6+89.3+262.4+197+554.9+204.6+131+84.2+167.8+234+244.3+224.6+2.6+720.8+274.8+196.9+92.7+302.2-0.1+54+252.1+59.6+339.9+327.5+6.9+10.8+311+12.3+27.2+155.4+21.3+553+37.1+38.4+755.2+0.1-0.1+264.4+10.5+355.1+1.5+262.2+1.5+789.3+6.1+101.2+159+638.7+417.1+1.5+108.9+0.1+33.2+10.5+429.9+102.7+103.9+244.5+7.4+115.2+99.7+133.5+60+180.5+41.7+0.4+24.4+34.1+43.2+30.5+44.6</f>
        <v>14413.900000000007</v>
      </c>
      <c r="E10" s="1">
        <f>D10/D6*100</f>
        <v>5.825940042601524</v>
      </c>
      <c r="F10" s="1">
        <f aca="true" t="shared" si="3" ref="F10:F41">D10/B10*100</f>
        <v>79.85274727709887</v>
      </c>
      <c r="G10" s="1">
        <f t="shared" si="0"/>
        <v>53.159575723600774</v>
      </c>
      <c r="H10" s="48">
        <f t="shared" si="2"/>
        <v>3636.6999999999916</v>
      </c>
      <c r="I10" s="48">
        <f t="shared" si="1"/>
        <v>12700.499999999995</v>
      </c>
    </row>
    <row r="11" spans="1:9" ht="18">
      <c r="A11" s="26" t="s">
        <v>0</v>
      </c>
      <c r="B11" s="46">
        <v>45460</v>
      </c>
      <c r="C11" s="47">
        <v>71654.8</v>
      </c>
      <c r="D11" s="53">
        <f>435.2+111+615.5+123.2+0.2+1.9+63.8+2790+1.3+13.9+1170.1+0.8+3680.6+96.8+2.2+30.4+160.1+658.7+3.6+0.1+13.6+960.9+1669.6+874.3+1539.2+231.8+2136.6+6.8+729.7+312.8+219.9+145.7+390.2+1017.2+39.8+0.1+21+264.2+174.1+1212.5+1026.8+409.3+10.1+150.1+166.6+780.1+0.2+798.9+370.2+0.3+4.5+241.1+133.7+2045.4+40+25.8+712.2+172.5+300.5+9.8+35.6+53.9+72.6-0.1+18.5+39.4+88.9+37.4+86.7+103.9+0.7+146.1+22+54.4+428.7+4.8+64.5+37.6+17.1+170.4+78.7+36.7+4.1+11.1+391+31.5+30.1</f>
        <v>31383.8</v>
      </c>
      <c r="E11" s="1">
        <f>D11/D6*100</f>
        <v>12.684987207417675</v>
      </c>
      <c r="F11" s="1">
        <f t="shared" si="3"/>
        <v>69.03607567091949</v>
      </c>
      <c r="G11" s="1">
        <f t="shared" si="0"/>
        <v>43.79860107068892</v>
      </c>
      <c r="H11" s="48">
        <f t="shared" si="2"/>
        <v>14076.2</v>
      </c>
      <c r="I11" s="48">
        <f t="shared" si="1"/>
        <v>40271</v>
      </c>
    </row>
    <row r="12" spans="1:9" ht="18">
      <c r="A12" s="26" t="s">
        <v>15</v>
      </c>
      <c r="B12" s="46">
        <v>8197.8</v>
      </c>
      <c r="C12" s="47">
        <f>14712+28</f>
        <v>14740</v>
      </c>
      <c r="D12" s="48">
        <f>5+12.7+3.8+1250.6+160.8+241+218.1+277.6+20.3+413.8+8.3+240.5+24.8+2.5+338+212.8+1.2+3.8+19.1+319.6+33.1+186+278+233.1+1.2+181.4+178.6+208.7+296.2+195.1+36.2+3.8+12.7+114.5+331.8+187.3+241.1+252+65.5+0.1+9.1+67.9+257.1+135.7+183.8</f>
        <v>7464.300000000002</v>
      </c>
      <c r="E12" s="1">
        <f>D12/D6*100</f>
        <v>3.016988064298389</v>
      </c>
      <c r="F12" s="1">
        <f t="shared" si="3"/>
        <v>91.05247749396183</v>
      </c>
      <c r="G12" s="1">
        <f t="shared" si="0"/>
        <v>50.639755766621455</v>
      </c>
      <c r="H12" s="48">
        <f t="shared" si="2"/>
        <v>733.4999999999973</v>
      </c>
      <c r="I12" s="48">
        <f t="shared" si="1"/>
        <v>7275.699999999998</v>
      </c>
    </row>
    <row r="13" spans="1:9" ht="18.75" thickBot="1">
      <c r="A13" s="26" t="s">
        <v>34</v>
      </c>
      <c r="B13" s="47">
        <f>B6-B8-B9-B10-B11-B12</f>
        <v>11048.300000000014</v>
      </c>
      <c r="C13" s="47">
        <f>C6-C8-C9-C10-C11-C12</f>
        <v>16606.500000000015</v>
      </c>
      <c r="D13" s="47">
        <f>D6-D8-D9-D10-D11-D12</f>
        <v>7459.400000000079</v>
      </c>
      <c r="E13" s="1">
        <f>D13/D6*100</f>
        <v>3.01500753812516</v>
      </c>
      <c r="F13" s="1">
        <f t="shared" si="3"/>
        <v>67.516269471322</v>
      </c>
      <c r="G13" s="1">
        <f t="shared" si="0"/>
        <v>44.91855598711392</v>
      </c>
      <c r="H13" s="48">
        <f t="shared" si="2"/>
        <v>3588.899999999935</v>
      </c>
      <c r="I13" s="48">
        <f t="shared" si="1"/>
        <v>9147.099999999937</v>
      </c>
    </row>
    <row r="14" spans="1:9" s="41" customFormat="1" ht="18.75" customHeight="1" hidden="1">
      <c r="A14" s="104" t="s">
        <v>78</v>
      </c>
      <c r="B14" s="102"/>
      <c r="C14" s="102"/>
      <c r="D14" s="102"/>
      <c r="E14" s="103"/>
      <c r="F14" s="103" t="e">
        <f>D14/B14*100</f>
        <v>#DIV/0!</v>
      </c>
      <c r="G14" s="103" t="e">
        <f>D14/C14*100</f>
        <v>#DIV/0!</v>
      </c>
      <c r="H14" s="113">
        <f>B14-D14</f>
        <v>0</v>
      </c>
      <c r="I14" s="113">
        <f>C14-D14</f>
        <v>0</v>
      </c>
    </row>
    <row r="15" spans="1:9" s="41" customFormat="1" ht="18.75" customHeight="1" hidden="1">
      <c r="A15" s="104" t="s">
        <v>75</v>
      </c>
      <c r="B15" s="102"/>
      <c r="C15" s="102"/>
      <c r="D15" s="102"/>
      <c r="E15" s="103"/>
      <c r="F15" s="103" t="e">
        <f>D15/B15*100</f>
        <v>#DIV/0!</v>
      </c>
      <c r="G15" s="103" t="e">
        <f>D15/C15*100</f>
        <v>#DIV/0!</v>
      </c>
      <c r="H15" s="113">
        <f>B15-D15</f>
        <v>0</v>
      </c>
      <c r="I15" s="113">
        <f>C15-D15</f>
        <v>0</v>
      </c>
    </row>
    <row r="16" spans="1:9" s="41" customFormat="1" ht="19.5" hidden="1" thickBot="1">
      <c r="A16" s="104" t="s">
        <v>76</v>
      </c>
      <c r="B16" s="102"/>
      <c r="C16" s="102"/>
      <c r="D16" s="102"/>
      <c r="E16" s="103"/>
      <c r="F16" s="103" t="e">
        <f>D16/B16*100</f>
        <v>#DIV/0!</v>
      </c>
      <c r="G16" s="103" t="e">
        <f>D16/C16*100</f>
        <v>#DIV/0!</v>
      </c>
      <c r="H16" s="113">
        <f>B16-D16</f>
        <v>0</v>
      </c>
      <c r="I16" s="113">
        <f>C16-D16</f>
        <v>0</v>
      </c>
    </row>
    <row r="17" spans="1:9" s="41" customFormat="1" ht="19.5" hidden="1" thickBot="1">
      <c r="A17" s="104" t="s">
        <v>77</v>
      </c>
      <c r="B17" s="102"/>
      <c r="C17" s="102"/>
      <c r="D17" s="102"/>
      <c r="E17" s="103"/>
      <c r="F17" s="103" t="e">
        <f>D17/B17*100</f>
        <v>#DIV/0!</v>
      </c>
      <c r="G17" s="103" t="e">
        <f>D17/C17*100</f>
        <v>#DIV/0!</v>
      </c>
      <c r="H17" s="113">
        <f>B17-D17</f>
        <v>0</v>
      </c>
      <c r="I17" s="113">
        <f>C17-D17</f>
        <v>0</v>
      </c>
    </row>
    <row r="18" spans="1:9" ht="18.75" thickBot="1">
      <c r="A18" s="25" t="s">
        <v>23</v>
      </c>
      <c r="B18" s="49">
        <v>150808.3</v>
      </c>
      <c r="C18" s="50">
        <f>250434.1+666.5+2890.8+76.6+110</f>
        <v>254178</v>
      </c>
      <c r="D18" s="51">
        <f>5722.2+538+9070.5+238.7+827+135.9+565.7+282.3+195.5+508.6+5725.7+2584.4+8528.6+385.3+454.2+396.4+0.1+214+265.2+269.5+0.5+8027.1+27.9+93.7+5939.2+5138.8+56+477.3+131.9+9+0.1+1436.1+8061.5+2.5+534.2+673.6+6.2+8039.3+2467.1+4.9+257.2+37.3-0.1+78.2+1.3+4.3+6209+1529+9.3+345+3.7+11.2+1210.1+3+10814+393.8+312.6-0.1+17+1119+74+6482.1+806.9+928.2+379.8+9759+2006.1+100.2-0.2+2.3+43.5+4468.5+5631.4+279.6+1167.1+10779.3+6.2+53.7+96</f>
        <v>143453.2</v>
      </c>
      <c r="E18" s="3">
        <f>D18/D150*100</f>
        <v>17.75872442095099</v>
      </c>
      <c r="F18" s="3">
        <f>D18/B18*100</f>
        <v>95.1228811676811</v>
      </c>
      <c r="G18" s="3">
        <f t="shared" si="0"/>
        <v>56.438086695150645</v>
      </c>
      <c r="H18" s="51">
        <f>B18-D18</f>
        <v>7355.099999999977</v>
      </c>
      <c r="I18" s="51">
        <f t="shared" si="1"/>
        <v>110724.79999999999</v>
      </c>
    </row>
    <row r="19" spans="1:9" s="41" customFormat="1" ht="18.75">
      <c r="A19" s="112" t="s">
        <v>99</v>
      </c>
      <c r="B19" s="105">
        <v>110247.1</v>
      </c>
      <c r="C19" s="102">
        <f>188049.2+2890.8</f>
        <v>190940</v>
      </c>
      <c r="D19" s="113">
        <f>5722.2+537+5375.9+205.8+772.6+85.2+565.7+282.3+110.6+420+5725.7+2458.6+4587.6+87.8+415.3+396.4+207.1+48.5+226+0.5+7534.4+5939.2+109.6+53.8+253.7+52.6+9+0.1+1269.6+7891.8+2.5+349.5+267.7+2.8+4392.2+294.9+4.9+208.1+6.9+6.3+1.3+6209+1390.7+9.3+345+3.7+11.2+1094.2+3+6313.1+20+86.1+17-25.1+974.7+16.3+6468+487.6+730.6+313.4+5778+1842.4+100.2-0.2+35.6+4468.5+3624.8+212.2+797.1+6508.9+6.2+53.7+88.5</f>
        <v>104865.4</v>
      </c>
      <c r="E19" s="103">
        <f>D19/D18*100</f>
        <v>73.10077432918888</v>
      </c>
      <c r="F19" s="103">
        <f t="shared" si="3"/>
        <v>95.11851105380549</v>
      </c>
      <c r="G19" s="103">
        <f t="shared" si="0"/>
        <v>54.920603330889286</v>
      </c>
      <c r="H19" s="113">
        <f t="shared" si="2"/>
        <v>5381.700000000012</v>
      </c>
      <c r="I19" s="113">
        <f t="shared" si="1"/>
        <v>86074.6</v>
      </c>
    </row>
    <row r="20" spans="1:9" ht="18">
      <c r="A20" s="26" t="s">
        <v>5</v>
      </c>
      <c r="B20" s="46">
        <f>110417.8+407.9</f>
        <v>110825.7</v>
      </c>
      <c r="C20" s="47">
        <v>186641.3</v>
      </c>
      <c r="D20" s="48">
        <f>5722.2+1+8655.9+32.9+2.4+5725.7+8251+357.7+0.1+5829.5+27.9+3957+4812.9+26.7+6036.7+16.8+6839+2416.2+22.3+6209+10229+319.3+6468+9728.3+1605.6+3790.5+3239.9+10406.4</f>
        <v>110729.9</v>
      </c>
      <c r="E20" s="1">
        <f>D20/D18*100</f>
        <v>77.1888671706173</v>
      </c>
      <c r="F20" s="1">
        <f t="shared" si="3"/>
        <v>99.9135579563224</v>
      </c>
      <c r="G20" s="1">
        <f t="shared" si="0"/>
        <v>59.32765148978281</v>
      </c>
      <c r="H20" s="48">
        <f t="shared" si="2"/>
        <v>95.80000000000291</v>
      </c>
      <c r="I20" s="48">
        <f t="shared" si="1"/>
        <v>75911.4</v>
      </c>
    </row>
    <row r="21" spans="1:9" ht="18">
      <c r="A21" s="26" t="s">
        <v>2</v>
      </c>
      <c r="B21" s="46">
        <f>13639.4+1135.3</f>
        <v>14774.699999999999</v>
      </c>
      <c r="C21" s="47">
        <f>20454.1+500+110</f>
        <v>21064.1</v>
      </c>
      <c r="D21" s="48">
        <f>80.5+183.6+169.4+194.4+100+1.7+148.4+215.7+278.3+117.8+152.1+196.9+0.1+12.4+249.4+61.7+746.5+93.7+472.5+302.1+275.1+81.6+3.9+35+464.9+2.5+307.7+447+3.4+846+41.6+81.5+37.3+0.2+71.8+4.3+281.4+8.6+37.8+540.8+303.1+41.5+125.6+0.1+385.5+30+578.3+388.2+197.1+2.6+69.3+4.6+1.6+2146+165.2+545.7+294.3+32.8+88.5</f>
        <v>12749.600000000002</v>
      </c>
      <c r="E21" s="1">
        <f>D21/D18*100</f>
        <v>8.887637222453037</v>
      </c>
      <c r="F21" s="1">
        <f t="shared" si="3"/>
        <v>86.29346111934592</v>
      </c>
      <c r="G21" s="1">
        <f t="shared" si="0"/>
        <v>60.52762757487859</v>
      </c>
      <c r="H21" s="48">
        <f t="shared" si="2"/>
        <v>2025.0999999999967</v>
      </c>
      <c r="I21" s="48">
        <f t="shared" si="1"/>
        <v>8314.499999999996</v>
      </c>
    </row>
    <row r="22" spans="1:9" ht="18">
      <c r="A22" s="26" t="s">
        <v>1</v>
      </c>
      <c r="B22" s="46">
        <v>2311.8</v>
      </c>
      <c r="C22" s="47">
        <v>3917.9</v>
      </c>
      <c r="D22" s="48">
        <f>127.7+23.6+33.5+86.7+19.5+2.9+68.3+78.1+10.6+165.4+2.5+15.8+6.5+60.2+104.3+141.7+2.3+23.7+90.2+22.1+28.3+93.7+27.2-0.1+0.2+54.7+9.9+37.6+110.2+182.3+0.1+39.2+35.9+64.9+14.2+28+147.6+14.5+0.1+67.9+38.7+142.7+29</f>
        <v>2252.4</v>
      </c>
      <c r="E22" s="1">
        <f>D22/D18*100</f>
        <v>1.5701287946173383</v>
      </c>
      <c r="F22" s="1">
        <f t="shared" si="3"/>
        <v>97.43057357902933</v>
      </c>
      <c r="G22" s="1">
        <f t="shared" si="0"/>
        <v>57.48998187804691</v>
      </c>
      <c r="H22" s="48">
        <f t="shared" si="2"/>
        <v>59.40000000000009</v>
      </c>
      <c r="I22" s="48">
        <f t="shared" si="1"/>
        <v>1665.5</v>
      </c>
    </row>
    <row r="23" spans="1:9" ht="18">
      <c r="A23" s="26" t="s">
        <v>0</v>
      </c>
      <c r="B23" s="46">
        <f>15670.1-3.4-418.9</f>
        <v>15247.800000000001</v>
      </c>
      <c r="C23" s="47">
        <v>27804.4</v>
      </c>
      <c r="D23" s="48">
        <f>230.7+158.8+520.8+110.9+465.7+246.3+3.9+169.6+1975.3+126.5+2+97.4+199.5+165.4+184.4+1288.4+1114.2+20.1+11.6+1104.8+1285.8+113+130.6+146.2+28.7+1001+189.4+3.7+11.2+527.3+61.2-0.1+17+472.5+16.3+18.8+256.5+97.1+20+6.8+539.1+17+343.6+6.8+6.2+20.1</f>
        <v>13532.1</v>
      </c>
      <c r="E23" s="1">
        <f>D23/D18*100</f>
        <v>9.433111286468339</v>
      </c>
      <c r="F23" s="1">
        <f t="shared" si="3"/>
        <v>88.74788494077835</v>
      </c>
      <c r="G23" s="1">
        <f t="shared" si="0"/>
        <v>48.6689157111824</v>
      </c>
      <c r="H23" s="48">
        <f t="shared" si="2"/>
        <v>1715.7000000000007</v>
      </c>
      <c r="I23" s="48">
        <f t="shared" si="1"/>
        <v>14272.300000000001</v>
      </c>
    </row>
    <row r="24" spans="1:9" ht="18">
      <c r="A24" s="26" t="s">
        <v>15</v>
      </c>
      <c r="B24" s="46">
        <f>939.4+3.4</f>
        <v>942.8</v>
      </c>
      <c r="C24" s="47">
        <v>1591.6</v>
      </c>
      <c r="D24" s="48">
        <f>73.6+22.6+5.3+2.4+2.5+128.1+0.1+11.5+121.2+11.2-0.1+27.3+71.1+31.4-0.1+0.8+24.6+83.5+19.6+26.5+24.2+67.9+2.3+4+48.1+8.9+75.1+2</f>
        <v>895.5999999999999</v>
      </c>
      <c r="E24" s="1">
        <f>D24/D18*100</f>
        <v>0.6243151076448625</v>
      </c>
      <c r="F24" s="1">
        <f t="shared" si="3"/>
        <v>94.99363597793806</v>
      </c>
      <c r="G24" s="1">
        <f t="shared" si="0"/>
        <v>56.270419703443075</v>
      </c>
      <c r="H24" s="48">
        <f t="shared" si="2"/>
        <v>47.200000000000045</v>
      </c>
      <c r="I24" s="48">
        <f t="shared" si="1"/>
        <v>696</v>
      </c>
    </row>
    <row r="25" spans="1:9" ht="18.75" thickBot="1">
      <c r="A25" s="26" t="s">
        <v>34</v>
      </c>
      <c r="B25" s="47">
        <f>B18-B20-B21-B22-B23-B24</f>
        <v>6705.499999999994</v>
      </c>
      <c r="C25" s="47">
        <f>C18-C20-C21-C22-C23-C24</f>
        <v>13158.70000000001</v>
      </c>
      <c r="D25" s="47">
        <f>D18-D20-D21-D22-D23-D24</f>
        <v>3293.6000000000136</v>
      </c>
      <c r="E25" s="1">
        <f>D25/D18*100</f>
        <v>2.295940418199115</v>
      </c>
      <c r="F25" s="1">
        <f t="shared" si="3"/>
        <v>49.11788830064897</v>
      </c>
      <c r="G25" s="1">
        <f t="shared" si="0"/>
        <v>25.029828174515806</v>
      </c>
      <c r="H25" s="48">
        <f t="shared" si="2"/>
        <v>3411.89999999998</v>
      </c>
      <c r="I25" s="48">
        <f t="shared" si="1"/>
        <v>9865.099999999997</v>
      </c>
    </row>
    <row r="26" spans="1:9" ht="57" hidden="1" thickBot="1">
      <c r="A26" s="104" t="s">
        <v>86</v>
      </c>
      <c r="B26" s="47"/>
      <c r="C26" s="47"/>
      <c r="D26" s="47"/>
      <c r="E26" s="1"/>
      <c r="F26" s="1" t="e">
        <f t="shared" si="3"/>
        <v>#DIV/0!</v>
      </c>
      <c r="G26" s="1" t="e">
        <f t="shared" si="0"/>
        <v>#DIV/0!</v>
      </c>
      <c r="H26" s="48">
        <f t="shared" si="2"/>
        <v>0</v>
      </c>
      <c r="I26" s="48">
        <f t="shared" si="1"/>
        <v>0</v>
      </c>
    </row>
    <row r="27" spans="1:9" ht="36.75" customHeight="1" hidden="1">
      <c r="A27" s="104" t="s">
        <v>87</v>
      </c>
      <c r="B27" s="47"/>
      <c r="C27" s="47"/>
      <c r="D27" s="47"/>
      <c r="E27" s="1"/>
      <c r="F27" s="1" t="e">
        <f t="shared" si="3"/>
        <v>#DIV/0!</v>
      </c>
      <c r="G27" s="1" t="e">
        <f t="shared" si="0"/>
        <v>#DIV/0!</v>
      </c>
      <c r="H27" s="48">
        <f t="shared" si="2"/>
        <v>0</v>
      </c>
      <c r="I27" s="48">
        <f t="shared" si="1"/>
        <v>0</v>
      </c>
    </row>
    <row r="28" spans="1:9" ht="19.5" hidden="1" thickBot="1">
      <c r="A28" s="104" t="s">
        <v>88</v>
      </c>
      <c r="B28" s="47"/>
      <c r="C28" s="47"/>
      <c r="D28" s="47"/>
      <c r="E28" s="1"/>
      <c r="F28" s="1" t="e">
        <f t="shared" si="3"/>
        <v>#DIV/0!</v>
      </c>
      <c r="G28" s="1" t="e">
        <f t="shared" si="0"/>
        <v>#DIV/0!</v>
      </c>
      <c r="H28" s="48">
        <f t="shared" si="2"/>
        <v>0</v>
      </c>
      <c r="I28" s="48">
        <f t="shared" si="1"/>
        <v>0</v>
      </c>
    </row>
    <row r="29" spans="1:9" ht="39.75" customHeight="1" hidden="1">
      <c r="A29" s="104" t="s">
        <v>89</v>
      </c>
      <c r="B29" s="47"/>
      <c r="C29" s="47"/>
      <c r="D29" s="47"/>
      <c r="E29" s="1"/>
      <c r="F29" s="1" t="e">
        <f t="shared" si="3"/>
        <v>#DIV/0!</v>
      </c>
      <c r="G29" s="1" t="e">
        <f t="shared" si="0"/>
        <v>#DIV/0!</v>
      </c>
      <c r="H29" s="48">
        <f t="shared" si="2"/>
        <v>0</v>
      </c>
      <c r="I29" s="48">
        <f t="shared" si="1"/>
        <v>0</v>
      </c>
    </row>
    <row r="30" spans="1:9" ht="37.5" customHeight="1" hidden="1">
      <c r="A30" s="104" t="s">
        <v>90</v>
      </c>
      <c r="B30" s="47"/>
      <c r="C30" s="47"/>
      <c r="D30" s="47"/>
      <c r="E30" s="1"/>
      <c r="F30" s="1" t="e">
        <f>D30/B30*100</f>
        <v>#DIV/0!</v>
      </c>
      <c r="G30" s="1" t="e">
        <f t="shared" si="0"/>
        <v>#DIV/0!</v>
      </c>
      <c r="H30" s="48">
        <f t="shared" si="2"/>
        <v>0</v>
      </c>
      <c r="I30" s="48">
        <f t="shared" si="1"/>
        <v>0</v>
      </c>
    </row>
    <row r="31" spans="1:9" ht="36" customHeight="1" hidden="1">
      <c r="A31" s="104" t="s">
        <v>91</v>
      </c>
      <c r="B31" s="47"/>
      <c r="C31" s="47"/>
      <c r="D31" s="47"/>
      <c r="E31" s="1"/>
      <c r="F31" s="1" t="e">
        <f t="shared" si="3"/>
        <v>#DIV/0!</v>
      </c>
      <c r="G31" s="1" t="e">
        <f t="shared" si="0"/>
        <v>#DIV/0!</v>
      </c>
      <c r="H31" s="48">
        <f t="shared" si="2"/>
        <v>0</v>
      </c>
      <c r="I31" s="48">
        <f t="shared" si="1"/>
        <v>0</v>
      </c>
    </row>
    <row r="32" spans="1:9" ht="19.5" hidden="1" thickBot="1">
      <c r="A32" s="104" t="s">
        <v>92</v>
      </c>
      <c r="B32" s="47"/>
      <c r="C32" s="47"/>
      <c r="D32" s="47"/>
      <c r="E32" s="1"/>
      <c r="F32" s="1" t="e">
        <f t="shared" si="3"/>
        <v>#DIV/0!</v>
      </c>
      <c r="G32" s="1" t="e">
        <f t="shared" si="0"/>
        <v>#DIV/0!</v>
      </c>
      <c r="H32" s="48">
        <f t="shared" si="2"/>
        <v>0</v>
      </c>
      <c r="I32" s="48">
        <f t="shared" si="1"/>
        <v>0</v>
      </c>
    </row>
    <row r="33" spans="1:9" ht="18.75" thickBot="1">
      <c r="A33" s="25" t="s">
        <v>18</v>
      </c>
      <c r="B33" s="49">
        <v>31141.3</v>
      </c>
      <c r="C33" s="50">
        <f>50266.1+19.2</f>
        <v>50285.299999999996</v>
      </c>
      <c r="D33" s="54">
        <f>1335+343.1+78.5+19.5+60.6+1286.4+5+525.1+62.5+112+1.7+1386+0.2+29.8+71.3+135.1+1382.9+3.4+310.7+57+0.3+439.8+201.8+26+5.1+1392.8+7+56.1+51.9+135.1+11.7-3.2+231.8+1414.3+16.9+11-0.2+603.2+0.2+19+81.6+9.6+1371.8+10.2+14.9+146.8+30.2+36.2+1344.1+263.3+76.8+0.3+429.2+64.9+5.5+1381.4+16.8+54.9+51.2+207.6+15.4+126.4+15.3+9.8+0.5+34.2+1655.6+70.2+2.8+42.6+12.1+525+37+13.4+40.6+24.8+3972.2+0.4+148.2+0.1+42.9+0.5+23.8+2824.4+23.3+10.5+0.1+74+543.8+10.7+40.3+47.5+14.7+430.8+3.7+24.6+81+9.2+0.1+1.7+6.9+338+13.7+0.5-0.8</f>
        <v>28736.2</v>
      </c>
      <c r="E33" s="3">
        <f>D33/D150*100</f>
        <v>3.5573849639138886</v>
      </c>
      <c r="F33" s="3">
        <f>D33/B33*100</f>
        <v>92.27681567564618</v>
      </c>
      <c r="G33" s="3">
        <f t="shared" si="0"/>
        <v>57.14632308050266</v>
      </c>
      <c r="H33" s="51">
        <f t="shared" si="2"/>
        <v>2405.0999999999985</v>
      </c>
      <c r="I33" s="51">
        <f t="shared" si="1"/>
        <v>21549.099999999995</v>
      </c>
    </row>
    <row r="34" spans="1:9" ht="18">
      <c r="A34" s="26" t="s">
        <v>3</v>
      </c>
      <c r="B34" s="46">
        <v>21824.9</v>
      </c>
      <c r="C34" s="47">
        <v>35016.6</v>
      </c>
      <c r="D34" s="48">
        <f>1335+1268.2+1354.9+1304.2+1357+1359.6+1365.6+1342.2+1381.4+3.9+1624.5+11.9+0.1+10+3950.5+2820.4+0.1+74+93.6+20+430.6+329.1</f>
        <v>21436.799999999996</v>
      </c>
      <c r="E34" s="1">
        <f>D34/D33*100</f>
        <v>74.59858993186292</v>
      </c>
      <c r="F34" s="1">
        <f t="shared" si="3"/>
        <v>98.22175588433393</v>
      </c>
      <c r="G34" s="1">
        <f t="shared" si="0"/>
        <v>61.21896471959013</v>
      </c>
      <c r="H34" s="48">
        <f t="shared" si="2"/>
        <v>388.1000000000058</v>
      </c>
      <c r="I34" s="48">
        <f t="shared" si="1"/>
        <v>13579.800000000003</v>
      </c>
    </row>
    <row r="35" spans="1:9" ht="18" hidden="1">
      <c r="A35" s="26" t="s">
        <v>1</v>
      </c>
      <c r="B35" s="46"/>
      <c r="C35" s="47"/>
      <c r="D35" s="48"/>
      <c r="E35" s="1">
        <f>D35/D33*100</f>
        <v>0</v>
      </c>
      <c r="F35" s="1" t="e">
        <f t="shared" si="3"/>
        <v>#DIV/0!</v>
      </c>
      <c r="G35" s="1" t="e">
        <f t="shared" si="0"/>
        <v>#DIV/0!</v>
      </c>
      <c r="H35" s="48">
        <f t="shared" si="2"/>
        <v>0</v>
      </c>
      <c r="I35" s="48">
        <f t="shared" si="1"/>
        <v>0</v>
      </c>
    </row>
    <row r="36" spans="1:9" ht="18">
      <c r="A36" s="26" t="s">
        <v>0</v>
      </c>
      <c r="B36" s="46">
        <v>1863.4</v>
      </c>
      <c r="C36" s="47">
        <v>3384.4</v>
      </c>
      <c r="D36" s="48">
        <f>10.5+61.2+112+1.1+10.5+29.3+0.6+6.8+9.7+3.4+19.2+41.9-0.2+31.7+187.3+26+0.6+2.4+24.9+11.7+8.1+0.1+179+19+1+1.3+0.4+1.8+4.5+241.4+76.8+24.3+5.1+0.7+0.9+17.4+1.9+1.5+0.3+21.8+2.3+2+18.1+0.3+0.3+0.1+3+3.8+0.3+2+1.3+8.7-0.1+0.3+1.1+0.2+0.6+0.2+4.1+1+0.7+4.7+0.4+0.3</f>
        <v>1253.5999999999997</v>
      </c>
      <c r="E36" s="1">
        <f>D36/D33*100</f>
        <v>4.362441798150067</v>
      </c>
      <c r="F36" s="1">
        <f t="shared" si="3"/>
        <v>67.27487388644411</v>
      </c>
      <c r="G36" s="1">
        <f t="shared" si="0"/>
        <v>37.0405389433873</v>
      </c>
      <c r="H36" s="48">
        <f t="shared" si="2"/>
        <v>609.8000000000004</v>
      </c>
      <c r="I36" s="48">
        <f t="shared" si="1"/>
        <v>2130.8</v>
      </c>
    </row>
    <row r="37" spans="1:9" s="41" customFormat="1" ht="18.75">
      <c r="A37" s="20" t="s">
        <v>7</v>
      </c>
      <c r="B37" s="55">
        <v>613.1</v>
      </c>
      <c r="C37" s="56">
        <v>929.3</v>
      </c>
      <c r="D37" s="57">
        <f>11.2+19.5+15.2+5+5.7-0.1+1.9+5.1+7+0.3+7.7+25.8+82+15.4+14.3+13.2+14.4+42.6+0.1+37.6+3+2.6+0.8+1.6</f>
        <v>331.90000000000015</v>
      </c>
      <c r="E37" s="17">
        <f>D37/D33*100</f>
        <v>1.1549891774138548</v>
      </c>
      <c r="F37" s="17">
        <f t="shared" si="3"/>
        <v>54.134725167183184</v>
      </c>
      <c r="G37" s="17">
        <f t="shared" si="0"/>
        <v>35.71505434197785</v>
      </c>
      <c r="H37" s="57">
        <f t="shared" si="2"/>
        <v>281.1999999999999</v>
      </c>
      <c r="I37" s="57">
        <f t="shared" si="1"/>
        <v>597.3999999999999</v>
      </c>
    </row>
    <row r="38" spans="1:9" ht="18">
      <c r="A38" s="26" t="s">
        <v>15</v>
      </c>
      <c r="B38" s="46">
        <v>25.5</v>
      </c>
      <c r="C38" s="47">
        <v>60.8</v>
      </c>
      <c r="D38" s="47">
        <f>5.1+5.1+5.1+5.1+5.1</f>
        <v>25.5</v>
      </c>
      <c r="E38" s="1">
        <f>D38/D33*100</f>
        <v>0.08873824653224852</v>
      </c>
      <c r="F38" s="1">
        <f t="shared" si="3"/>
        <v>100</v>
      </c>
      <c r="G38" s="1">
        <f t="shared" si="0"/>
        <v>41.94078947368421</v>
      </c>
      <c r="H38" s="48">
        <f t="shared" si="2"/>
        <v>0</v>
      </c>
      <c r="I38" s="48">
        <f t="shared" si="1"/>
        <v>35.3</v>
      </c>
    </row>
    <row r="39" spans="1:9" ht="18.75" thickBot="1">
      <c r="A39" s="26" t="s">
        <v>34</v>
      </c>
      <c r="B39" s="46">
        <f>B33-B34-B36-B37-B35-B38</f>
        <v>6814.399999999998</v>
      </c>
      <c r="C39" s="46">
        <f>C33-C34-C36-C37-C35-C38</f>
        <v>10894.199999999999</v>
      </c>
      <c r="D39" s="46">
        <f>D33-D34-D36-D37-D35-D38</f>
        <v>5688.400000000005</v>
      </c>
      <c r="E39" s="1">
        <f>D39/D33*100</f>
        <v>19.795240846040898</v>
      </c>
      <c r="F39" s="1">
        <f t="shared" si="3"/>
        <v>83.47616811458099</v>
      </c>
      <c r="G39" s="1">
        <f t="shared" si="0"/>
        <v>52.214940059848416</v>
      </c>
      <c r="H39" s="48">
        <f>B39-D39</f>
        <v>1125.9999999999927</v>
      </c>
      <c r="I39" s="48">
        <f t="shared" si="1"/>
        <v>5205.799999999994</v>
      </c>
    </row>
    <row r="40" spans="1:9" ht="19.5" hidden="1" thickBot="1">
      <c r="A40" s="104" t="s">
        <v>83</v>
      </c>
      <c r="B40" s="105"/>
      <c r="C40" s="105"/>
      <c r="D40" s="105"/>
      <c r="E40" s="103"/>
      <c r="F40" s="103" t="e">
        <f t="shared" si="3"/>
        <v>#DIV/0!</v>
      </c>
      <c r="G40" s="103" t="e">
        <f t="shared" si="0"/>
        <v>#DIV/0!</v>
      </c>
      <c r="H40" s="113">
        <f>B40-D40</f>
        <v>0</v>
      </c>
      <c r="I40" s="113">
        <f t="shared" si="1"/>
        <v>0</v>
      </c>
    </row>
    <row r="41" spans="1:9" ht="19.5" hidden="1" thickBot="1">
      <c r="A41" s="104" t="s">
        <v>84</v>
      </c>
      <c r="B41" s="105"/>
      <c r="C41" s="105"/>
      <c r="D41" s="105"/>
      <c r="E41" s="103"/>
      <c r="F41" s="103" t="e">
        <f t="shared" si="3"/>
        <v>#DIV/0!</v>
      </c>
      <c r="G41" s="103" t="e">
        <f t="shared" si="0"/>
        <v>#DIV/0!</v>
      </c>
      <c r="H41" s="113">
        <f>B41-D41</f>
        <v>0</v>
      </c>
      <c r="I41" s="113">
        <f t="shared" si="1"/>
        <v>0</v>
      </c>
    </row>
    <row r="42" spans="1:9" ht="19.5" hidden="1" thickBot="1">
      <c r="A42" s="104" t="s">
        <v>85</v>
      </c>
      <c r="B42" s="105"/>
      <c r="C42" s="105"/>
      <c r="D42" s="105"/>
      <c r="E42" s="103"/>
      <c r="F42" s="103"/>
      <c r="G42" s="103" t="e">
        <f t="shared" si="0"/>
        <v>#DIV/0!</v>
      </c>
      <c r="H42" s="113">
        <f>B42-D42</f>
        <v>0</v>
      </c>
      <c r="I42" s="113">
        <f t="shared" si="1"/>
        <v>0</v>
      </c>
    </row>
    <row r="43" spans="1:9" ht="19.5" thickBot="1">
      <c r="A43" s="13" t="s">
        <v>17</v>
      </c>
      <c r="B43" s="106">
        <f>602.2+0.8</f>
        <v>603</v>
      </c>
      <c r="C43" s="50">
        <f>829.5+61+9+3+3</f>
        <v>905.5</v>
      </c>
      <c r="D43" s="51">
        <f>22.2+3+5+12.1+5.3+62.1+8.7+22.7+11.7+44.1-0.1+8.7+8.3+9+2+12.1+30.9+11+14.3+28.5+0.1+1.2+34+0.6+0.1+2.3+3+1.5+17.9+19.5+82.4-0.1+0.8+8.4+18.6+22.3</f>
        <v>534.2</v>
      </c>
      <c r="E43" s="3">
        <f>D43/D150*100</f>
        <v>0.06613104891122694</v>
      </c>
      <c r="F43" s="3">
        <f>D43/B43*100</f>
        <v>88.59038142620233</v>
      </c>
      <c r="G43" s="3">
        <f t="shared" si="0"/>
        <v>58.995030369961356</v>
      </c>
      <c r="H43" s="51">
        <f t="shared" si="2"/>
        <v>68.79999999999995</v>
      </c>
      <c r="I43" s="51">
        <f t="shared" si="1"/>
        <v>371.29999999999995</v>
      </c>
    </row>
    <row r="44" spans="1:9" ht="12" customHeight="1" thickBot="1">
      <c r="A44" s="28"/>
      <c r="B44" s="59"/>
      <c r="C44" s="60"/>
      <c r="D44" s="61"/>
      <c r="E44" s="7"/>
      <c r="F44" s="7"/>
      <c r="G44" s="7"/>
      <c r="H44" s="61"/>
      <c r="I44" s="61"/>
    </row>
    <row r="45" spans="1:9" ht="18.75" thickBot="1">
      <c r="A45" s="25" t="s">
        <v>54</v>
      </c>
      <c r="B45" s="49">
        <v>4472.4</v>
      </c>
      <c r="C45" s="50">
        <v>7741.6</v>
      </c>
      <c r="D45" s="51">
        <f>224.1+260.8+14.4+236.4+3.2+114.6+291.3+0.1+96+241.4+13.4+0.1+331+0.7-0.1+39.8+268.9+0.5+9.3+307.6+278.3+1.8+5.2+302.3+9.3+4.6+275.3+25.3+352.3+6.4+0.1+14.8+50.6+5.2+267.1+7.9+293.7</f>
        <v>4353.700000000001</v>
      </c>
      <c r="E45" s="3">
        <f>D45/D150*100</f>
        <v>0.5389643347899826</v>
      </c>
      <c r="F45" s="3">
        <f>D45/B45*100</f>
        <v>97.34594401216353</v>
      </c>
      <c r="G45" s="3">
        <f aca="true" t="shared" si="4" ref="G45:G76">D45/C45*100</f>
        <v>56.237728634907526</v>
      </c>
      <c r="H45" s="51">
        <f>B45-D45</f>
        <v>118.69999999999891</v>
      </c>
      <c r="I45" s="51">
        <f aca="true" t="shared" si="5" ref="I45:I77">C45-D45</f>
        <v>3387.8999999999996</v>
      </c>
    </row>
    <row r="46" spans="1:9" ht="18">
      <c r="A46" s="26" t="s">
        <v>3</v>
      </c>
      <c r="B46" s="46">
        <v>3906.1</v>
      </c>
      <c r="C46" s="47">
        <v>6753.6</v>
      </c>
      <c r="D46" s="48">
        <f>224.1+258.6+235.3+288.8+241.4+328.6+224.6+306.6+239.4+298.3+269.8+13.5+346.9+45.8+263.2+291.7</f>
        <v>3876.6000000000004</v>
      </c>
      <c r="E46" s="1">
        <f>D46/D45*100</f>
        <v>89.04150492684383</v>
      </c>
      <c r="F46" s="1">
        <f aca="true" t="shared" si="6" ref="F46:F74">D46/B46*100</f>
        <v>99.24477099920638</v>
      </c>
      <c r="G46" s="1">
        <f t="shared" si="4"/>
        <v>57.40049751243781</v>
      </c>
      <c r="H46" s="48">
        <f aca="true" t="shared" si="7" ref="H46:H74">B46-D46</f>
        <v>29.499999999999545</v>
      </c>
      <c r="I46" s="48">
        <f t="shared" si="5"/>
        <v>2877</v>
      </c>
    </row>
    <row r="47" spans="1:9" ht="18">
      <c r="A47" s="26" t="s">
        <v>2</v>
      </c>
      <c r="B47" s="46">
        <v>0.8</v>
      </c>
      <c r="C47" s="47">
        <v>1.3</v>
      </c>
      <c r="D47" s="48">
        <f>0.3+0.4+0.1</f>
        <v>0.7999999999999999</v>
      </c>
      <c r="E47" s="1">
        <f>D47/D45*100</f>
        <v>0.018375175138388034</v>
      </c>
      <c r="F47" s="1">
        <f t="shared" si="6"/>
        <v>99.99999999999999</v>
      </c>
      <c r="G47" s="1">
        <f t="shared" si="4"/>
        <v>61.53846153846153</v>
      </c>
      <c r="H47" s="48">
        <f t="shared" si="7"/>
        <v>0</v>
      </c>
      <c r="I47" s="48">
        <f t="shared" si="5"/>
        <v>0.5000000000000001</v>
      </c>
    </row>
    <row r="48" spans="1:9" ht="18">
      <c r="A48" s="26" t="s">
        <v>1</v>
      </c>
      <c r="B48" s="46">
        <v>37</v>
      </c>
      <c r="C48" s="47">
        <v>70.7</v>
      </c>
      <c r="D48" s="48">
        <f>0.2+2.1+0.1+6.5+6.7-0.1+7+4.6+1.6+2+4.6</f>
        <v>35.300000000000004</v>
      </c>
      <c r="E48" s="1">
        <f>D48/D45*100</f>
        <v>0.8108046029813721</v>
      </c>
      <c r="F48" s="1">
        <f t="shared" si="6"/>
        <v>95.40540540540542</v>
      </c>
      <c r="G48" s="1">
        <f t="shared" si="4"/>
        <v>49.92927864214993</v>
      </c>
      <c r="H48" s="48">
        <f t="shared" si="7"/>
        <v>1.6999999999999957</v>
      </c>
      <c r="I48" s="48">
        <f t="shared" si="5"/>
        <v>35.4</v>
      </c>
    </row>
    <row r="49" spans="1:9" ht="18">
      <c r="A49" s="26" t="s">
        <v>0</v>
      </c>
      <c r="B49" s="46">
        <f>328.1+0.9</f>
        <v>329</v>
      </c>
      <c r="C49" s="47">
        <v>568.5</v>
      </c>
      <c r="D49" s="48">
        <f>2.2+2.5+0.8+112.4+2.2+0.1+69.1+4.4-0.1+35.2+27.4+4.8+1+22.3+2.5+1.6+0.6+4.2-0.1+0.5+5.1</f>
        <v>298.70000000000005</v>
      </c>
      <c r="E49" s="1">
        <f>D49/D45*100</f>
        <v>6.8608310172956335</v>
      </c>
      <c r="F49" s="1">
        <f t="shared" si="6"/>
        <v>90.79027355623101</v>
      </c>
      <c r="G49" s="1">
        <f t="shared" si="4"/>
        <v>52.541776605101155</v>
      </c>
      <c r="H49" s="48">
        <f t="shared" si="7"/>
        <v>30.299999999999955</v>
      </c>
      <c r="I49" s="48">
        <f t="shared" si="5"/>
        <v>269.79999999999995</v>
      </c>
    </row>
    <row r="50" spans="1:9" ht="18.75" thickBot="1">
      <c r="A50" s="26" t="s">
        <v>34</v>
      </c>
      <c r="B50" s="47">
        <f>B45-B46-B49-B48-B47</f>
        <v>199.49999999999972</v>
      </c>
      <c r="C50" s="47">
        <f>C45-C46-C49-C48-C47</f>
        <v>347.5</v>
      </c>
      <c r="D50" s="47">
        <f>D45-D46-D49-D48-D47</f>
        <v>142.3000000000003</v>
      </c>
      <c r="E50" s="1">
        <f>D50/D45*100</f>
        <v>3.2684842777407783</v>
      </c>
      <c r="F50" s="1">
        <f t="shared" si="6"/>
        <v>71.32832080200527</v>
      </c>
      <c r="G50" s="1">
        <f t="shared" si="4"/>
        <v>40.94964028776987</v>
      </c>
      <c r="H50" s="48">
        <f t="shared" si="7"/>
        <v>57.19999999999942</v>
      </c>
      <c r="I50" s="48">
        <f t="shared" si="5"/>
        <v>205.1999999999997</v>
      </c>
    </row>
    <row r="51" spans="1:9" ht="18.75" thickBot="1">
      <c r="A51" s="25" t="s">
        <v>4</v>
      </c>
      <c r="B51" s="49">
        <v>10673.7</v>
      </c>
      <c r="C51" s="50">
        <f>16075.7+36.8+200+828.6</f>
        <v>17141.1</v>
      </c>
      <c r="D51" s="51">
        <f>8+294.9+37.1+10.7+29.1+464+10.3+76.6+3.8+16.5+359.8+101.4+28.4+17.4+423.7+90.6+34.9+37+0.1+9.1+9.3+297.9+22+64.6+70.7+6+66.1+10+1+492.9+75.6+12.9+0.1+89.4+151.6+362.5+3.6+52.3+5.5+47.6+477.8+131.7+10.9+138.5+313.4+75.2+80.2+4.9+57.7+92.3+667.1+12.7+3.5+40+122.9+42.7+443+56.4+3.7+3.4+5.5+866.9+90.5-0.1+0.5+13.2+568.7+43.8+0.1+3.6+6.8+11.8+1+498.5</f>
        <v>8783.799999999996</v>
      </c>
      <c r="E51" s="3">
        <f>D51/D150*100</f>
        <v>1.0873865732430452</v>
      </c>
      <c r="F51" s="3">
        <f>D51/B51*100</f>
        <v>82.29386248442428</v>
      </c>
      <c r="G51" s="3">
        <f t="shared" si="4"/>
        <v>51.24408585213316</v>
      </c>
      <c r="H51" s="51">
        <f>B51-D51</f>
        <v>1889.900000000005</v>
      </c>
      <c r="I51" s="51">
        <f t="shared" si="5"/>
        <v>8357.300000000003</v>
      </c>
    </row>
    <row r="52" spans="1:9" ht="18">
      <c r="A52" s="26" t="s">
        <v>3</v>
      </c>
      <c r="B52" s="46">
        <v>6186.2</v>
      </c>
      <c r="C52" s="47">
        <v>10328.7</v>
      </c>
      <c r="D52" s="48">
        <f>8+294.9+437.7+298.5+423.7+297.9+451.2+294.5+446+301+554.2+412+820.4+487.4+393.4</f>
        <v>5920.799999999998</v>
      </c>
      <c r="E52" s="1">
        <f>D52/D51*100</f>
        <v>67.40590632755756</v>
      </c>
      <c r="F52" s="1">
        <f t="shared" si="6"/>
        <v>95.70980569655036</v>
      </c>
      <c r="G52" s="1">
        <f t="shared" si="4"/>
        <v>57.32376775392836</v>
      </c>
      <c r="H52" s="48">
        <f t="shared" si="7"/>
        <v>265.40000000000146</v>
      </c>
      <c r="I52" s="48">
        <f t="shared" si="5"/>
        <v>4407.900000000002</v>
      </c>
    </row>
    <row r="53" spans="1:9" ht="18">
      <c r="A53" s="26" t="s">
        <v>2</v>
      </c>
      <c r="B53" s="46">
        <v>0</v>
      </c>
      <c r="C53" s="47">
        <v>12</v>
      </c>
      <c r="D53" s="48"/>
      <c r="E53" s="1">
        <f>D53/D51*100</f>
        <v>0</v>
      </c>
      <c r="F53" s="111" t="e">
        <f t="shared" si="6"/>
        <v>#DIV/0!</v>
      </c>
      <c r="G53" s="1">
        <f t="shared" si="4"/>
        <v>0</v>
      </c>
      <c r="H53" s="48">
        <f t="shared" si="7"/>
        <v>0</v>
      </c>
      <c r="I53" s="48">
        <f t="shared" si="5"/>
        <v>12</v>
      </c>
    </row>
    <row r="54" spans="1:9" ht="18">
      <c r="A54" s="26" t="s">
        <v>1</v>
      </c>
      <c r="B54" s="46">
        <v>164.3</v>
      </c>
      <c r="C54" s="47">
        <v>287</v>
      </c>
      <c r="D54" s="48">
        <f>1.3+0.7+2.1+1+1.3+7.6+7.5+6.3+0.4+13+20.7+0.5+5.3+9.4+10+8.9+5.1+7.2+1-0.1+17.9+7.1+3.8+1.6+1.9</f>
        <v>141.50000000000003</v>
      </c>
      <c r="E54" s="1">
        <f>D54/D51*100</f>
        <v>1.6109201029167342</v>
      </c>
      <c r="F54" s="1">
        <f t="shared" si="6"/>
        <v>86.12294583079733</v>
      </c>
      <c r="G54" s="1">
        <f t="shared" si="4"/>
        <v>49.30313588850176</v>
      </c>
      <c r="H54" s="48">
        <f t="shared" si="7"/>
        <v>22.799999999999983</v>
      </c>
      <c r="I54" s="48">
        <f t="shared" si="5"/>
        <v>145.49999999999997</v>
      </c>
    </row>
    <row r="55" spans="1:9" ht="18">
      <c r="A55" s="26" t="s">
        <v>0</v>
      </c>
      <c r="B55" s="46">
        <v>576.9</v>
      </c>
      <c r="C55" s="47">
        <v>933.1</v>
      </c>
      <c r="D55" s="48">
        <f>10.7+0.6+7.6+85.1+28.4+14.4+0.1+8.5+0.1+7+0.1+7.7+62.8+6+1.3+0.9+0.9+1+0.7+0.1+4.7+15.2+34.9+9+4+15.8+5.5+7+1.9+1.5+0.1+2.4+1.8+3.7+1.3+4.5+2.3+0.7+0.1+1.8+6.8+1.6+0.7</f>
        <v>371.3</v>
      </c>
      <c r="E55" s="1">
        <f>D55/D51*100</f>
        <v>4.227099888430978</v>
      </c>
      <c r="F55" s="1">
        <f t="shared" si="6"/>
        <v>64.36124111631132</v>
      </c>
      <c r="G55" s="1">
        <f t="shared" si="4"/>
        <v>39.792090879862826</v>
      </c>
      <c r="H55" s="48">
        <f t="shared" si="7"/>
        <v>205.59999999999997</v>
      </c>
      <c r="I55" s="48">
        <f t="shared" si="5"/>
        <v>561.8</v>
      </c>
    </row>
    <row r="56" spans="1:9" ht="18">
      <c r="A56" s="26" t="s">
        <v>15</v>
      </c>
      <c r="B56" s="46">
        <v>200</v>
      </c>
      <c r="C56" s="47">
        <v>200</v>
      </c>
      <c r="D56" s="134">
        <f>40+40</f>
        <v>80</v>
      </c>
      <c r="E56" s="1">
        <f>D56/D51*100</f>
        <v>0.910767549352217</v>
      </c>
      <c r="F56" s="1">
        <f>D56/B56*100</f>
        <v>40</v>
      </c>
      <c r="G56" s="1">
        <f>D56/C56*100</f>
        <v>40</v>
      </c>
      <c r="H56" s="48">
        <f t="shared" si="7"/>
        <v>120</v>
      </c>
      <c r="I56" s="48">
        <f t="shared" si="5"/>
        <v>120</v>
      </c>
    </row>
    <row r="57" spans="1:9" ht="18.75" thickBot="1">
      <c r="A57" s="26" t="s">
        <v>34</v>
      </c>
      <c r="B57" s="47">
        <f>B51-B52-B55-B54-B53-B56</f>
        <v>3546.3000000000006</v>
      </c>
      <c r="C57" s="47">
        <f>C51-C52-C55-C54-C53-C56</f>
        <v>5380.299999999997</v>
      </c>
      <c r="D57" s="47">
        <f>D51-D52-D55-D54-D53-D56</f>
        <v>2270.199999999997</v>
      </c>
      <c r="E57" s="1">
        <f>D57/D51*100</f>
        <v>25.845306131742507</v>
      </c>
      <c r="F57" s="1">
        <f t="shared" si="6"/>
        <v>64.01601669345506</v>
      </c>
      <c r="G57" s="1">
        <f t="shared" si="4"/>
        <v>42.19467315948921</v>
      </c>
      <c r="H57" s="48">
        <f>B57-D57</f>
        <v>1276.1000000000035</v>
      </c>
      <c r="I57" s="48">
        <f>C57-D57</f>
        <v>3110.1000000000004</v>
      </c>
    </row>
    <row r="58" spans="1:9" s="41" customFormat="1" ht="19.5" hidden="1" thickBot="1">
      <c r="A58" s="104" t="s">
        <v>82</v>
      </c>
      <c r="B58" s="102"/>
      <c r="C58" s="102"/>
      <c r="D58" s="102"/>
      <c r="E58" s="1"/>
      <c r="F58" s="103" t="e">
        <f t="shared" si="6"/>
        <v>#DIV/0!</v>
      </c>
      <c r="G58" s="103" t="e">
        <f t="shared" si="4"/>
        <v>#DIV/0!</v>
      </c>
      <c r="H58" s="113">
        <f t="shared" si="7"/>
        <v>0</v>
      </c>
      <c r="I58" s="113">
        <f>C58-D58</f>
        <v>0</v>
      </c>
    </row>
    <row r="59" spans="1:9" ht="18.75" thickBot="1">
      <c r="A59" s="25" t="s">
        <v>6</v>
      </c>
      <c r="B59" s="49">
        <v>5135.6</v>
      </c>
      <c r="C59" s="50">
        <f>5881.8+134.4+115.2</f>
        <v>6131.4</v>
      </c>
      <c r="D59" s="51">
        <f>43.5+4.7+72.8+47.2+46+5+62.5+3.8+40.9+35.3+2.1+2.9+21.1+3.9+86.8+0.2+2.7+44.1+47.3+140.1+0.1+45.6+13.8+0.9+95.5-0.1+6.7+60.6+0.7+0.5+92.7+2.8+4+111.8+66.3+34+5.8+77.7+2.3+68.7+75.6</f>
        <v>1478.8999999999999</v>
      </c>
      <c r="E59" s="3">
        <f>D59/D150*100</f>
        <v>0.1830797608289283</v>
      </c>
      <c r="F59" s="3">
        <f>D59/B59*100</f>
        <v>28.797024690396444</v>
      </c>
      <c r="G59" s="3">
        <f t="shared" si="4"/>
        <v>24.1201030759696</v>
      </c>
      <c r="H59" s="51">
        <f>B59-D59</f>
        <v>3656.7000000000007</v>
      </c>
      <c r="I59" s="51">
        <f t="shared" si="5"/>
        <v>4652.5</v>
      </c>
    </row>
    <row r="60" spans="1:9" ht="18">
      <c r="A60" s="26" t="s">
        <v>3</v>
      </c>
      <c r="B60" s="46">
        <v>992.9</v>
      </c>
      <c r="C60" s="47">
        <f>1508.2+134.4</f>
        <v>1642.6000000000001</v>
      </c>
      <c r="D60" s="48">
        <f>43.5+72.8+47.2+62.5+0.1+35.3+86.8+44.1+125.7+41.4+92.3+60.6+92.7+66.3+68.7</f>
        <v>940</v>
      </c>
      <c r="E60" s="1">
        <f>D60/D59*100</f>
        <v>63.56075461491649</v>
      </c>
      <c r="F60" s="1">
        <f t="shared" si="6"/>
        <v>94.67217242421191</v>
      </c>
      <c r="G60" s="1">
        <f t="shared" si="4"/>
        <v>57.22634847193473</v>
      </c>
      <c r="H60" s="48">
        <f t="shared" si="7"/>
        <v>52.89999999999998</v>
      </c>
      <c r="I60" s="48">
        <f t="shared" si="5"/>
        <v>702.6000000000001</v>
      </c>
    </row>
    <row r="61" spans="1:9" ht="18">
      <c r="A61" s="26" t="s">
        <v>1</v>
      </c>
      <c r="B61" s="46">
        <v>331.8</v>
      </c>
      <c r="C61" s="47">
        <v>331.8</v>
      </c>
      <c r="D61" s="48">
        <f>111.8+77.7+75.6</f>
        <v>265.1</v>
      </c>
      <c r="E61" s="1">
        <f>D61/D59*100</f>
        <v>17.92548515788762</v>
      </c>
      <c r="F61" s="1">
        <f>D61/B61*100</f>
        <v>79.89752863170585</v>
      </c>
      <c r="G61" s="1">
        <f t="shared" si="4"/>
        <v>79.89752863170585</v>
      </c>
      <c r="H61" s="48">
        <f t="shared" si="7"/>
        <v>66.69999999999999</v>
      </c>
      <c r="I61" s="48">
        <f t="shared" si="5"/>
        <v>66.69999999999999</v>
      </c>
    </row>
    <row r="62" spans="1:9" ht="18">
      <c r="A62" s="26" t="s">
        <v>0</v>
      </c>
      <c r="B62" s="46">
        <v>368.1</v>
      </c>
      <c r="C62" s="47">
        <v>627.5</v>
      </c>
      <c r="D62" s="48">
        <f>4.7+45.7+4.9+40.9+19.8+3.9+46.3+9+12.6+0.9+3+0.3+2.8+0.3+0.1+2.2</f>
        <v>197.4</v>
      </c>
      <c r="E62" s="1">
        <f>D62/D59*100</f>
        <v>13.347758469132465</v>
      </c>
      <c r="F62" s="1">
        <f t="shared" si="6"/>
        <v>53.62673186634067</v>
      </c>
      <c r="G62" s="1">
        <f t="shared" si="4"/>
        <v>31.458167330677288</v>
      </c>
      <c r="H62" s="48">
        <f t="shared" si="7"/>
        <v>170.70000000000002</v>
      </c>
      <c r="I62" s="48">
        <f t="shared" si="5"/>
        <v>430.1</v>
      </c>
    </row>
    <row r="63" spans="1:9" ht="18">
      <c r="A63" s="26" t="s">
        <v>15</v>
      </c>
      <c r="B63" s="46">
        <v>3331.4</v>
      </c>
      <c r="C63" s="47">
        <f>3216.2+115.2</f>
        <v>3331.3999999999996</v>
      </c>
      <c r="D63" s="48"/>
      <c r="E63" s="1">
        <f>D63/D59*100</f>
        <v>0</v>
      </c>
      <c r="F63" s="1">
        <f t="shared" si="6"/>
        <v>0</v>
      </c>
      <c r="G63" s="1">
        <f t="shared" si="4"/>
        <v>0</v>
      </c>
      <c r="H63" s="48">
        <f t="shared" si="7"/>
        <v>3331.4</v>
      </c>
      <c r="I63" s="48">
        <f t="shared" si="5"/>
        <v>3331.3999999999996</v>
      </c>
    </row>
    <row r="64" spans="1:9" ht="18.75" thickBot="1">
      <c r="A64" s="26" t="s">
        <v>34</v>
      </c>
      <c r="B64" s="47">
        <f>B59-B60-B62-B63-B61</f>
        <v>111.40000000000072</v>
      </c>
      <c r="C64" s="47">
        <f>C59-C60-C62-C63-C61</f>
        <v>198.09999999999962</v>
      </c>
      <c r="D64" s="47">
        <f>D59-D60-D62-D63-D61</f>
        <v>76.39999999999986</v>
      </c>
      <c r="E64" s="1">
        <f>D64/D59*100</f>
        <v>5.166001758063417</v>
      </c>
      <c r="F64" s="1">
        <f t="shared" si="6"/>
        <v>68.5816876122077</v>
      </c>
      <c r="G64" s="1">
        <f t="shared" si="4"/>
        <v>38.56638061585059</v>
      </c>
      <c r="H64" s="48">
        <f t="shared" si="7"/>
        <v>35.00000000000085</v>
      </c>
      <c r="I64" s="48">
        <f t="shared" si="5"/>
        <v>121.69999999999976</v>
      </c>
    </row>
    <row r="65" spans="1:9" s="41" customFormat="1" ht="19.5" hidden="1" thickBot="1">
      <c r="A65" s="104" t="s">
        <v>93</v>
      </c>
      <c r="B65" s="102"/>
      <c r="C65" s="102"/>
      <c r="D65" s="102"/>
      <c r="E65" s="103"/>
      <c r="F65" s="103" t="e">
        <f>D65/B65*100</f>
        <v>#DIV/0!</v>
      </c>
      <c r="G65" s="103" t="e">
        <f>D65/C65*100</f>
        <v>#DIV/0!</v>
      </c>
      <c r="H65" s="113">
        <f t="shared" si="7"/>
        <v>0</v>
      </c>
      <c r="I65" s="113">
        <f t="shared" si="5"/>
        <v>0</v>
      </c>
    </row>
    <row r="66" spans="1:9" s="41" customFormat="1" ht="19.5" hidden="1" thickBot="1">
      <c r="A66" s="104" t="s">
        <v>79</v>
      </c>
      <c r="B66" s="102"/>
      <c r="C66" s="102"/>
      <c r="D66" s="102"/>
      <c r="E66" s="103"/>
      <c r="F66" s="103" t="e">
        <f t="shared" si="6"/>
        <v>#DIV/0!</v>
      </c>
      <c r="G66" s="103" t="e">
        <f t="shared" si="4"/>
        <v>#DIV/0!</v>
      </c>
      <c r="H66" s="113">
        <f t="shared" si="7"/>
        <v>0</v>
      </c>
      <c r="I66" s="113">
        <f t="shared" si="5"/>
        <v>0</v>
      </c>
    </row>
    <row r="67" spans="1:9" s="41" customFormat="1" ht="19.5" hidden="1" thickBot="1">
      <c r="A67" s="104" t="s">
        <v>80</v>
      </c>
      <c r="B67" s="102"/>
      <c r="C67" s="102"/>
      <c r="D67" s="102"/>
      <c r="E67" s="103"/>
      <c r="F67" s="103" t="e">
        <f t="shared" si="6"/>
        <v>#DIV/0!</v>
      </c>
      <c r="G67" s="103" t="e">
        <f t="shared" si="4"/>
        <v>#DIV/0!</v>
      </c>
      <c r="H67" s="113">
        <f t="shared" si="7"/>
        <v>0</v>
      </c>
      <c r="I67" s="113">
        <f t="shared" si="5"/>
        <v>0</v>
      </c>
    </row>
    <row r="68" spans="1:9" s="41" customFormat="1" ht="19.5" hidden="1" thickBot="1">
      <c r="A68" s="104" t="s">
        <v>81</v>
      </c>
      <c r="B68" s="102"/>
      <c r="C68" s="102"/>
      <c r="D68" s="102"/>
      <c r="E68" s="103"/>
      <c r="F68" s="103" t="e">
        <f t="shared" si="6"/>
        <v>#DIV/0!</v>
      </c>
      <c r="G68" s="103" t="e">
        <f t="shared" si="4"/>
        <v>#DIV/0!</v>
      </c>
      <c r="H68" s="113">
        <f t="shared" si="7"/>
        <v>0</v>
      </c>
      <c r="I68" s="113">
        <f t="shared" si="5"/>
        <v>0</v>
      </c>
    </row>
    <row r="69" spans="1:9" ht="18.75" thickBot="1">
      <c r="A69" s="25" t="s">
        <v>24</v>
      </c>
      <c r="B69" s="50">
        <f>B70+B71</f>
        <v>327.9</v>
      </c>
      <c r="C69" s="50">
        <f>C70+C71</f>
        <v>538.5</v>
      </c>
      <c r="D69" s="51">
        <f>SUM(D70:D71)</f>
        <v>179.5</v>
      </c>
      <c r="E69" s="39">
        <f>D69/D150*100</f>
        <v>0.02222112182621721</v>
      </c>
      <c r="F69" s="3">
        <f>D69/B69*100</f>
        <v>54.74229948154926</v>
      </c>
      <c r="G69" s="3">
        <f t="shared" si="4"/>
        <v>33.33333333333333</v>
      </c>
      <c r="H69" s="51">
        <f>B69-D69</f>
        <v>148.39999999999998</v>
      </c>
      <c r="I69" s="51">
        <f t="shared" si="5"/>
        <v>359</v>
      </c>
    </row>
    <row r="70" spans="1:9" ht="18">
      <c r="A70" s="26" t="s">
        <v>8</v>
      </c>
      <c r="B70" s="46">
        <v>170.9</v>
      </c>
      <c r="C70" s="47">
        <v>171</v>
      </c>
      <c r="D70" s="48">
        <f>3.9+1+3+8.8+1.5+9.8+5+38.4+18.8+12.7+1+25.4+6+5+25.1+4.5</f>
        <v>169.9</v>
      </c>
      <c r="E70" s="1">
        <f>D70/D69*100</f>
        <v>94.65181058495821</v>
      </c>
      <c r="F70" s="1">
        <f t="shared" si="6"/>
        <v>99.41486249268578</v>
      </c>
      <c r="G70" s="1">
        <f t="shared" si="4"/>
        <v>99.35672514619883</v>
      </c>
      <c r="H70" s="48">
        <f t="shared" si="7"/>
        <v>1</v>
      </c>
      <c r="I70" s="48">
        <f t="shared" si="5"/>
        <v>1.0999999999999943</v>
      </c>
    </row>
    <row r="71" spans="1:9" ht="18.75" thickBot="1">
      <c r="A71" s="26" t="s">
        <v>9</v>
      </c>
      <c r="B71" s="46">
        <v>157</v>
      </c>
      <c r="C71" s="47">
        <f>253.4-6+145-41+16.1</f>
        <v>367.5</v>
      </c>
      <c r="D71" s="48">
        <f>9.6</f>
        <v>9.6</v>
      </c>
      <c r="E71" s="1">
        <f>D71/D70*100</f>
        <v>5.650382577987051</v>
      </c>
      <c r="F71" s="1">
        <f t="shared" si="6"/>
        <v>6.114649681528663</v>
      </c>
      <c r="G71" s="1">
        <f t="shared" si="4"/>
        <v>2.6122448979591835</v>
      </c>
      <c r="H71" s="48">
        <f t="shared" si="7"/>
        <v>147.4</v>
      </c>
      <c r="I71" s="48">
        <f t="shared" si="5"/>
        <v>357.9</v>
      </c>
    </row>
    <row r="72" spans="1:9" ht="38.25" hidden="1" thickBot="1">
      <c r="A72" s="13" t="s">
        <v>50</v>
      </c>
      <c r="B72" s="58"/>
      <c r="C72" s="50">
        <f>C73+C74+C75+C76</f>
        <v>0</v>
      </c>
      <c r="D72" s="50">
        <f>D73+D74+D75+D76</f>
        <v>0</v>
      </c>
      <c r="E72" s="3">
        <f>D72/D150*100</f>
        <v>0</v>
      </c>
      <c r="F72" s="3" t="e">
        <f>D72/B72*100</f>
        <v>#DIV/0!</v>
      </c>
      <c r="G72" s="3" t="e">
        <f t="shared" si="4"/>
        <v>#DIV/0!</v>
      </c>
      <c r="H72" s="51">
        <f>B72-D72</f>
        <v>0</v>
      </c>
      <c r="I72" s="51">
        <f t="shared" si="5"/>
        <v>0</v>
      </c>
    </row>
    <row r="73" spans="1:9" ht="18.75" hidden="1">
      <c r="A73" s="20" t="s">
        <v>55</v>
      </c>
      <c r="B73" s="55"/>
      <c r="C73" s="62"/>
      <c r="D73" s="53"/>
      <c r="E73" s="34" t="e">
        <f>D73/D72*100</f>
        <v>#DIV/0!</v>
      </c>
      <c r="F73" s="1" t="e">
        <f t="shared" si="6"/>
        <v>#DIV/0!</v>
      </c>
      <c r="G73" s="1" t="e">
        <f t="shared" si="4"/>
        <v>#DIV/0!</v>
      </c>
      <c r="H73" s="48">
        <f t="shared" si="7"/>
        <v>0</v>
      </c>
      <c r="I73" s="48">
        <f t="shared" si="5"/>
        <v>0</v>
      </c>
    </row>
    <row r="74" spans="1:9" ht="18.75" hidden="1">
      <c r="A74" s="20" t="s">
        <v>56</v>
      </c>
      <c r="B74" s="55"/>
      <c r="C74" s="62"/>
      <c r="D74" s="53"/>
      <c r="E74" s="34" t="e">
        <f>D74/D72*100</f>
        <v>#DIV/0!</v>
      </c>
      <c r="F74" s="1" t="e">
        <f t="shared" si="6"/>
        <v>#DIV/0!</v>
      </c>
      <c r="G74" s="1" t="e">
        <f t="shared" si="4"/>
        <v>#DIV/0!</v>
      </c>
      <c r="H74" s="48">
        <f t="shared" si="7"/>
        <v>0</v>
      </c>
      <c r="I74" s="48">
        <f t="shared" si="5"/>
        <v>0</v>
      </c>
    </row>
    <row r="75" spans="1:9" ht="18.75" hidden="1">
      <c r="A75" s="27" t="s">
        <v>41</v>
      </c>
      <c r="B75" s="63"/>
      <c r="C75" s="64"/>
      <c r="D75" s="65"/>
      <c r="E75" s="34" t="e">
        <f>D75/D72*100</f>
        <v>#DIV/0!</v>
      </c>
      <c r="F75" s="34"/>
      <c r="G75" s="1" t="e">
        <f t="shared" si="4"/>
        <v>#DIV/0!</v>
      </c>
      <c r="H75" s="48"/>
      <c r="I75" s="48">
        <f t="shared" si="5"/>
        <v>0</v>
      </c>
    </row>
    <row r="76" spans="1:9" ht="19.5" hidden="1" thickBot="1">
      <c r="A76" s="27" t="s">
        <v>51</v>
      </c>
      <c r="B76" s="63"/>
      <c r="C76" s="64"/>
      <c r="D76" s="65"/>
      <c r="E76" s="34" t="e">
        <f>D76/D72*100</f>
        <v>#DIV/0!</v>
      </c>
      <c r="F76" s="34"/>
      <c r="G76" s="1" t="e">
        <f t="shared" si="4"/>
        <v>#DIV/0!</v>
      </c>
      <c r="H76" s="48"/>
      <c r="I76" s="48">
        <f t="shared" si="5"/>
        <v>0</v>
      </c>
    </row>
    <row r="77" spans="1:9" s="41" customFormat="1" ht="19.5" thickBot="1">
      <c r="A77" s="28" t="s">
        <v>14</v>
      </c>
      <c r="B77" s="59">
        <v>0</v>
      </c>
      <c r="C77" s="66">
        <f>10000-8192</f>
        <v>1808</v>
      </c>
      <c r="D77" s="67"/>
      <c r="E77" s="45"/>
      <c r="F77" s="45"/>
      <c r="G77" s="45"/>
      <c r="H77" s="67">
        <f>B77-D77</f>
        <v>0</v>
      </c>
      <c r="I77" s="67">
        <f t="shared" si="5"/>
        <v>1808</v>
      </c>
    </row>
    <row r="78" spans="1:9" ht="8.25" customHeight="1" thickBot="1">
      <c r="A78" s="20"/>
      <c r="B78" s="55"/>
      <c r="C78" s="64"/>
      <c r="D78" s="65"/>
      <c r="E78" s="6"/>
      <c r="F78" s="6"/>
      <c r="G78" s="6"/>
      <c r="H78" s="65"/>
      <c r="I78" s="129"/>
    </row>
    <row r="79" spans="1:9" ht="18.75" customHeight="1" hidden="1" thickBot="1">
      <c r="A79" s="13" t="s">
        <v>73</v>
      </c>
      <c r="B79" s="58"/>
      <c r="C79" s="50">
        <f>C80+C81</f>
        <v>0</v>
      </c>
      <c r="D79" s="50">
        <f>D80+D81</f>
        <v>0</v>
      </c>
      <c r="E79" s="3">
        <f>D79/D150*100</f>
        <v>0</v>
      </c>
      <c r="F79" s="3" t="e">
        <f>D79/B79*100</f>
        <v>#DIV/0!</v>
      </c>
      <c r="G79" s="3" t="e">
        <f aca="true" t="shared" si="8" ref="G79:G93">D79/C79*100</f>
        <v>#DIV/0!</v>
      </c>
      <c r="H79" s="51">
        <f>B79-D79</f>
        <v>0</v>
      </c>
      <c r="I79" s="51">
        <f aca="true" t="shared" si="9" ref="I79:I93">C79-D79</f>
        <v>0</v>
      </c>
    </row>
    <row r="80" spans="1:9" s="8" customFormat="1" ht="18.75" hidden="1" thickBot="1">
      <c r="A80" s="9" t="s">
        <v>72</v>
      </c>
      <c r="B80" s="68"/>
      <c r="C80" s="47">
        <f>50-50</f>
        <v>0</v>
      </c>
      <c r="D80" s="48"/>
      <c r="E80" s="101"/>
      <c r="F80" s="1" t="e">
        <f>D80/B80*100</f>
        <v>#DIV/0!</v>
      </c>
      <c r="G80" s="1" t="e">
        <f t="shared" si="8"/>
        <v>#DIV/0!</v>
      </c>
      <c r="H80" s="48">
        <f>B80-D80</f>
        <v>0</v>
      </c>
      <c r="I80" s="48">
        <f t="shared" si="9"/>
        <v>0</v>
      </c>
    </row>
    <row r="81" spans="1:9" s="8" customFormat="1" ht="31.5" hidden="1" thickBot="1">
      <c r="A81" s="9" t="s">
        <v>66</v>
      </c>
      <c r="B81" s="68"/>
      <c r="C81" s="47"/>
      <c r="D81" s="48"/>
      <c r="E81" s="101"/>
      <c r="F81" s="1" t="e">
        <f>D81/B81*100</f>
        <v>#DIV/0!</v>
      </c>
      <c r="G81" s="1" t="e">
        <f t="shared" si="8"/>
        <v>#DIV/0!</v>
      </c>
      <c r="H81" s="48">
        <f>B81-D81</f>
        <v>0</v>
      </c>
      <c r="I81" s="48">
        <f t="shared" si="9"/>
        <v>0</v>
      </c>
    </row>
    <row r="82" spans="1:9" s="8" customFormat="1" ht="16.5" customHeight="1" hidden="1">
      <c r="A82" s="9" t="s">
        <v>40</v>
      </c>
      <c r="B82" s="68"/>
      <c r="C82" s="47"/>
      <c r="D82" s="48"/>
      <c r="E82" s="1" t="e">
        <f>D82/D79*100</f>
        <v>#DIV/0!</v>
      </c>
      <c r="F82" s="1"/>
      <c r="G82" s="1" t="e">
        <f t="shared" si="8"/>
        <v>#DIV/0!</v>
      </c>
      <c r="H82" s="48"/>
      <c r="I82" s="48">
        <f t="shared" si="9"/>
        <v>0</v>
      </c>
    </row>
    <row r="83" spans="1:9" s="8" customFormat="1" ht="33" customHeight="1" hidden="1" thickBot="1">
      <c r="A83" s="9" t="s">
        <v>47</v>
      </c>
      <c r="B83" s="68"/>
      <c r="C83" s="47"/>
      <c r="D83" s="47"/>
      <c r="E83" s="1" t="e">
        <f>D83/D79*100</f>
        <v>#DIV/0!</v>
      </c>
      <c r="F83" s="1"/>
      <c r="G83" s="1" t="e">
        <f t="shared" si="8"/>
        <v>#DIV/0!</v>
      </c>
      <c r="H83" s="48"/>
      <c r="I83" s="48">
        <f t="shared" si="9"/>
        <v>0</v>
      </c>
    </row>
    <row r="84" spans="1:9" ht="35.25" customHeight="1" hidden="1" thickBot="1">
      <c r="A84" s="13" t="s">
        <v>42</v>
      </c>
      <c r="B84" s="58"/>
      <c r="C84" s="50">
        <f>C85+C86</f>
        <v>0</v>
      </c>
      <c r="D84" s="50">
        <f>D85+D86</f>
        <v>0</v>
      </c>
      <c r="E84" s="3">
        <f>D84/D150*100</f>
        <v>0</v>
      </c>
      <c r="F84" s="3"/>
      <c r="G84" s="3" t="e">
        <f t="shared" si="8"/>
        <v>#DIV/0!</v>
      </c>
      <c r="H84" s="51"/>
      <c r="I84" s="51">
        <f t="shared" si="9"/>
        <v>0</v>
      </c>
    </row>
    <row r="85" spans="1:9" ht="16.5" customHeight="1" hidden="1">
      <c r="A85" s="26" t="s">
        <v>29</v>
      </c>
      <c r="B85" s="46"/>
      <c r="C85" s="64"/>
      <c r="D85" s="64"/>
      <c r="E85" s="6" t="e">
        <f>D85/D84*100</f>
        <v>#DIV/0!</v>
      </c>
      <c r="F85" s="6"/>
      <c r="G85" s="6" t="e">
        <f t="shared" si="8"/>
        <v>#DIV/0!</v>
      </c>
      <c r="H85" s="65"/>
      <c r="I85" s="48">
        <f t="shared" si="9"/>
        <v>0</v>
      </c>
    </row>
    <row r="86" spans="1:9" ht="16.5" customHeight="1" hidden="1" thickBot="1">
      <c r="A86" s="26" t="s">
        <v>30</v>
      </c>
      <c r="B86" s="46"/>
      <c r="C86" s="64"/>
      <c r="D86" s="64"/>
      <c r="E86" s="6" t="e">
        <f>D86/D84*100</f>
        <v>#DIV/0!</v>
      </c>
      <c r="F86" s="6"/>
      <c r="G86" s="6" t="e">
        <f t="shared" si="8"/>
        <v>#DIV/0!</v>
      </c>
      <c r="H86" s="65"/>
      <c r="I86" s="48">
        <f t="shared" si="9"/>
        <v>0</v>
      </c>
    </row>
    <row r="87" spans="1:9" ht="34.5" customHeight="1" hidden="1" thickBot="1">
      <c r="A87" s="13" t="s">
        <v>43</v>
      </c>
      <c r="B87" s="58"/>
      <c r="C87" s="50">
        <f>SUM(C88:C89)</f>
        <v>0</v>
      </c>
      <c r="D87" s="50">
        <f>SUM(D88:D89)</f>
        <v>0</v>
      </c>
      <c r="E87" s="3">
        <f>D87/D150*100</f>
        <v>0</v>
      </c>
      <c r="F87" s="3"/>
      <c r="G87" s="3" t="e">
        <f t="shared" si="8"/>
        <v>#DIV/0!</v>
      </c>
      <c r="H87" s="51"/>
      <c r="I87" s="51">
        <f t="shared" si="9"/>
        <v>0</v>
      </c>
    </row>
    <row r="88" spans="1:9" ht="17.25" customHeight="1" hidden="1">
      <c r="A88" s="26" t="s">
        <v>29</v>
      </c>
      <c r="B88" s="46"/>
      <c r="C88" s="47"/>
      <c r="D88" s="48"/>
      <c r="E88" s="1" t="e">
        <f>D88/D87*100</f>
        <v>#DIV/0!</v>
      </c>
      <c r="F88" s="1"/>
      <c r="G88" s="1" t="e">
        <f t="shared" si="8"/>
        <v>#DIV/0!</v>
      </c>
      <c r="H88" s="48"/>
      <c r="I88" s="48">
        <f t="shared" si="9"/>
        <v>0</v>
      </c>
    </row>
    <row r="89" spans="1:9" ht="17.25" customHeight="1" hidden="1" thickBot="1">
      <c r="A89" s="26" t="s">
        <v>30</v>
      </c>
      <c r="B89" s="46"/>
      <c r="C89" s="47"/>
      <c r="D89" s="48"/>
      <c r="E89" s="1" t="e">
        <f>D89/D87*100</f>
        <v>#DIV/0!</v>
      </c>
      <c r="F89" s="1"/>
      <c r="G89" s="1" t="e">
        <f t="shared" si="8"/>
        <v>#DIV/0!</v>
      </c>
      <c r="H89" s="48"/>
      <c r="I89" s="48">
        <f t="shared" si="9"/>
        <v>0</v>
      </c>
    </row>
    <row r="90" spans="1:9" ht="19.5" thickBot="1">
      <c r="A90" s="13" t="s">
        <v>10</v>
      </c>
      <c r="B90" s="58">
        <v>36578.9</v>
      </c>
      <c r="C90" s="50">
        <f>50201.5+5861+2853.8+11.8-0.1</f>
        <v>58928.00000000001</v>
      </c>
      <c r="D90" s="51">
        <f>504.1+603.6+0.4+13.4+0.4+2.2+9.9+1.1+305.4+663.4+712.7+3.4+59.2+17.1+69.2+0.3+0.1+65+384.8+526.3+246.2+20.6+24.1+37.5+50.9+14.3+10.2+5.2+1502.8+556.3+715.7+52.4-0.2+96.1+234.6+88.5+23.1+1.9+3.2+309.4+1005.9+308.4+76.4+99.1+22.5+5.7+16.3+42.4+253.7+364.6+683.2+573.3+2059.7+6.4+0.2+30.3+12.6+50.2+8.7+6.5+23.7+258.2+1104.1+217+47.2+38.7+94.2+137.4+5.9+28.3+414.8+801.1+1202.4+4.8+18.6+107.2+4+9.2+402.1+1080.5+48.3+35.5+8+23.7+26.9+18.2+6.8+78.9+201.6+1354.3+1492.6+499.4+1+1.7+178.2+25.5+182.3+5.6+37+9.9+0.6+1194.6+523+14.6+26.2+11.2+35+108.3+22.7+1259.6+364.2+910.7+0.1+62.6+74.1+335.3+57.9+3.2+16.1+45.5+127.9+241.6+813.9+349.3+10.7+91.6+15.8+3.9+28.2+5.5+480.3+911.5+1173.2</f>
        <v>33114.6</v>
      </c>
      <c r="E90" s="3">
        <f>D90/D150*100</f>
        <v>4.099407024102799</v>
      </c>
      <c r="F90" s="3">
        <f aca="true" t="shared" si="10" ref="F90:F96">D90/B90*100</f>
        <v>90.52923953426702</v>
      </c>
      <c r="G90" s="3">
        <f t="shared" si="8"/>
        <v>56.19501764865598</v>
      </c>
      <c r="H90" s="51">
        <f aca="true" t="shared" si="11" ref="H90:H96">B90-D90</f>
        <v>3464.300000000003</v>
      </c>
      <c r="I90" s="51">
        <f t="shared" si="9"/>
        <v>25813.40000000001</v>
      </c>
    </row>
    <row r="91" spans="1:9" ht="18">
      <c r="A91" s="26" t="s">
        <v>3</v>
      </c>
      <c r="B91" s="46">
        <v>30600.3</v>
      </c>
      <c r="C91" s="47">
        <f>41785.6+5825.3+1852.2</f>
        <v>49463.1</v>
      </c>
      <c r="D91" s="48">
        <f>504.1+600.9+12.5+0.1+294.4+657+710.4+56.2+67.4+61.4+375.5+513+243.5+0.3+0.2+0.2+1502.8+529.2+582+0.1+29+142.9+14.9+1.9+241.9+972.3+146.3+19.4+5.4+12.1+245.6+356.2+677.7+532.7+2059.5-0.2+6+1.6+40.8+5.9+249.6+1081.7+177.2+15.5+10.4+2.1+2.1+390.2+763.8+1158.5+8.4+36.6+9.2+344.5+935.5+9.7+19.9+9.5+1.6+16.7+728.3+1292.1+321.1+0.8-0.2+14.8+16.9+4.9+0.8+1182.9+471.7+14.6+13+15+1250+346.4+884.6-0.1+62.6+34.5+228.2+21.5+3.2+28.5+112.4+240+809.2+334.5+15.2+12+426.3+876.6+1161.7</f>
        <v>28389.800000000003</v>
      </c>
      <c r="E91" s="1">
        <f>D91/D90*100</f>
        <v>85.73197320819217</v>
      </c>
      <c r="F91" s="1">
        <f t="shared" si="10"/>
        <v>92.77621461227506</v>
      </c>
      <c r="G91" s="1">
        <f t="shared" si="8"/>
        <v>57.395917360618334</v>
      </c>
      <c r="H91" s="48">
        <f t="shared" si="11"/>
        <v>2210.4999999999964</v>
      </c>
      <c r="I91" s="48">
        <f t="shared" si="9"/>
        <v>21073.299999999996</v>
      </c>
    </row>
    <row r="92" spans="1:9" ht="18">
      <c r="A92" s="26" t="s">
        <v>32</v>
      </c>
      <c r="B92" s="46">
        <v>1204.7</v>
      </c>
      <c r="C92" s="47">
        <f>2476+1-355.6</f>
        <v>2121.4</v>
      </c>
      <c r="D92" s="48">
        <f>9.8+96.8+35.3+50.2+1.4+30+1.1+18.1+138.1+43.8+4.2+9.3+27.5+5.8+0.2+2.4+1+11.7+14.7+34.3+26.9+2.8+30.4+0.1+10.2+1.4+0.2+22+131.7+1.9+1.6+30.8+150.2+0.9+0.6+2.2+0.6+31.6+20.6+1+0.3+3+17.7</f>
        <v>1024.3999999999999</v>
      </c>
      <c r="E92" s="1">
        <f>D92/D90*100</f>
        <v>3.093499544007779</v>
      </c>
      <c r="F92" s="1">
        <f t="shared" si="10"/>
        <v>85.03361832821447</v>
      </c>
      <c r="G92" s="1">
        <f t="shared" si="8"/>
        <v>48.288865843311015</v>
      </c>
      <c r="H92" s="48">
        <f t="shared" si="11"/>
        <v>180.30000000000018</v>
      </c>
      <c r="I92" s="48">
        <f t="shared" si="9"/>
        <v>1097.0000000000002</v>
      </c>
    </row>
    <row r="93" spans="1:9" ht="18" hidden="1">
      <c r="A93" s="26" t="s">
        <v>15</v>
      </c>
      <c r="B93" s="46"/>
      <c r="C93" s="47"/>
      <c r="D93" s="47"/>
      <c r="E93" s="12">
        <f>D93/D90*100</f>
        <v>0</v>
      </c>
      <c r="F93" s="1"/>
      <c r="G93" s="1" t="e">
        <f t="shared" si="8"/>
        <v>#DIV/0!</v>
      </c>
      <c r="H93" s="48">
        <f t="shared" si="11"/>
        <v>0</v>
      </c>
      <c r="I93" s="48">
        <f t="shared" si="9"/>
        <v>0</v>
      </c>
    </row>
    <row r="94" spans="1:9" ht="18.75" thickBot="1">
      <c r="A94" s="26" t="s">
        <v>34</v>
      </c>
      <c r="B94" s="47">
        <f>B90-B91-B92-B93</f>
        <v>4773.900000000002</v>
      </c>
      <c r="C94" s="47">
        <f>C90-C91-C92-C93</f>
        <v>7343.500000000009</v>
      </c>
      <c r="D94" s="47">
        <f>D90-D91-D92-D93</f>
        <v>3700.399999999996</v>
      </c>
      <c r="E94" s="1">
        <f>D94/D90*100</f>
        <v>11.174527247800052</v>
      </c>
      <c r="F94" s="1">
        <f t="shared" si="10"/>
        <v>77.51314438928327</v>
      </c>
      <c r="G94" s="1">
        <f>D94/C94*100</f>
        <v>50.39014094096809</v>
      </c>
      <c r="H94" s="48">
        <f t="shared" si="11"/>
        <v>1073.5000000000064</v>
      </c>
      <c r="I94" s="48">
        <f>C94-D94</f>
        <v>3643.100000000013</v>
      </c>
    </row>
    <row r="95" spans="1:9" ht="18.75">
      <c r="A95" s="116" t="s">
        <v>12</v>
      </c>
      <c r="B95" s="119">
        <f>54440.9+322</f>
        <v>54762.9</v>
      </c>
      <c r="C95" s="121">
        <f>63500.4+11490.6+4535.2-1.1</f>
        <v>79525.09999999999</v>
      </c>
      <c r="D95" s="120">
        <f>3050.1+485.9+95+377.6+203.9+57.3+702.6+368.5+68.4+157.9+4015.3+212.6+788.4+894.3+61.1+517.2+111.3+0.1+1461.7+564.4+1326.7+460.8+228+635.4+59+64.9+563.2+1630.6+5816.4+942.8+71+97.9+513.3+704.9+170.4+18.5+102.6+32.3+89.3+1512.9+897.1+594.4-0.1+523.7+655.4+600.6+24.1+111.3+414.6+200.4+295.4+768.4+880.1+257.1+801.1+28.2+245.7+474.9+1704.1+476.3+96.2+437.3+38.4+663+74.5+330.4+382.7+99.8+93.4+594.6+2.5+112.3+1285.9+0.1+1867.5+413.3+956.5+69.1+5.5+134.6+324.3+938.7+8.3+10.8+982.9-85.9+334.6+150.4+67.7-127</f>
        <v>49449.700000000004</v>
      </c>
      <c r="E95" s="115">
        <f>D95/D150*100</f>
        <v>6.121603387018904</v>
      </c>
      <c r="F95" s="118">
        <f t="shared" si="10"/>
        <v>90.29781110934593</v>
      </c>
      <c r="G95" s="114">
        <f>D95/C95*100</f>
        <v>62.18124843602839</v>
      </c>
      <c r="H95" s="120">
        <f t="shared" si="11"/>
        <v>5313.199999999997</v>
      </c>
      <c r="I95" s="130">
        <f>C95-D95</f>
        <v>30075.399999999987</v>
      </c>
    </row>
    <row r="96" spans="1:9" ht="18.75" thickBot="1">
      <c r="A96" s="117" t="s">
        <v>100</v>
      </c>
      <c r="B96" s="122">
        <f>3437.3+120</f>
        <v>3557.3</v>
      </c>
      <c r="C96" s="123">
        <f>5343.5+287.2</f>
        <v>5630.7</v>
      </c>
      <c r="D96" s="124">
        <f>57.3+368.5+61.1+0.1+320+59+0.8+309+245.5+61.2+0.4-0.1+489+12.5+64.8+24.2+437.3+329.2+2.4+382.5+3.4+31.2+13.3+8.3+121.6+67.7</f>
        <v>3470.2000000000003</v>
      </c>
      <c r="E96" s="125">
        <f>D96/D95*100</f>
        <v>7.017636102949057</v>
      </c>
      <c r="F96" s="126">
        <f t="shared" si="10"/>
        <v>97.5515137885475</v>
      </c>
      <c r="G96" s="127">
        <f>D96/C96*100</f>
        <v>61.62999271848971</v>
      </c>
      <c r="H96" s="131">
        <f t="shared" si="11"/>
        <v>87.09999999999991</v>
      </c>
      <c r="I96" s="132">
        <f>C96-D96</f>
        <v>2160.4999999999995</v>
      </c>
    </row>
    <row r="97" spans="1:9" ht="8.25" customHeight="1" thickBot="1">
      <c r="A97" s="20"/>
      <c r="B97" s="55"/>
      <c r="C97" s="64"/>
      <c r="D97" s="65"/>
      <c r="E97" s="6"/>
      <c r="F97" s="6"/>
      <c r="G97" s="6"/>
      <c r="H97" s="65"/>
      <c r="I97" s="65"/>
    </row>
    <row r="98" spans="1:9" ht="19.5" hidden="1" thickBot="1">
      <c r="A98" s="30" t="s">
        <v>45</v>
      </c>
      <c r="B98" s="72"/>
      <c r="C98" s="73"/>
      <c r="D98" s="74"/>
      <c r="E98" s="3">
        <f>D98/D150*100</f>
        <v>0</v>
      </c>
      <c r="F98" s="3"/>
      <c r="G98" s="3" t="e">
        <f>D98/C98*100</f>
        <v>#DIV/0!</v>
      </c>
      <c r="H98" s="51"/>
      <c r="I98" s="51">
        <f>C98-D98</f>
        <v>0</v>
      </c>
    </row>
    <row r="99" spans="1:9" ht="5.25" customHeight="1" hidden="1" thickBot="1">
      <c r="A99" s="29"/>
      <c r="B99" s="69"/>
      <c r="C99" s="70"/>
      <c r="D99" s="71"/>
      <c r="E99" s="14"/>
      <c r="F99" s="6"/>
      <c r="G99" s="6"/>
      <c r="H99" s="65"/>
      <c r="I99" s="129"/>
    </row>
    <row r="100" spans="1:9" s="15" customFormat="1" ht="36" customHeight="1" hidden="1" thickBot="1">
      <c r="A100" s="13" t="s">
        <v>63</v>
      </c>
      <c r="B100" s="58"/>
      <c r="C100" s="50"/>
      <c r="D100" s="51"/>
      <c r="E100" s="3">
        <f>D100/D150*100</f>
        <v>0</v>
      </c>
      <c r="F100" s="3" t="e">
        <f>D100/B100*100</f>
        <v>#DIV/0!</v>
      </c>
      <c r="G100" s="3" t="e">
        <f>D100/C100*100</f>
        <v>#DIV/0!</v>
      </c>
      <c r="H100" s="51">
        <f>B100-D100</f>
        <v>0</v>
      </c>
      <c r="I100" s="51">
        <f>C100-D100</f>
        <v>0</v>
      </c>
    </row>
    <row r="101" spans="1:9" ht="6.75" customHeight="1" hidden="1" thickBot="1">
      <c r="A101" s="108"/>
      <c r="B101" s="109"/>
      <c r="C101" s="70"/>
      <c r="D101" s="71"/>
      <c r="E101" s="14"/>
      <c r="F101" s="6"/>
      <c r="G101" s="6"/>
      <c r="H101" s="65"/>
      <c r="I101" s="129"/>
    </row>
    <row r="102" spans="1:9" s="41" customFormat="1" ht="19.5" thickBot="1">
      <c r="A102" s="13" t="s">
        <v>11</v>
      </c>
      <c r="B102" s="58">
        <v>6018.5</v>
      </c>
      <c r="C102" s="100">
        <f>10703.3-154-3.5-134.3</f>
        <v>10411.5</v>
      </c>
      <c r="D102" s="87">
        <f>40+388.7+47.5+2+10.9+26+40+10.7+4.9+126.7+451+1.9+19.2+1.6+31.5+41+134.3+2+40+303.9+42.9+136.5+32.6+15.2+0.1+18+62.7+4.9+159.7+3.3+4.9+45.5+355.5+2+11.4+51.9+80.1+8.7+15.5+6+0.2+15+38.8+236.4+53.6+35.7+10.2+144.2+116.1+49.6+0.1+6.4+35.4+80+178.3+58.6+51.8+190.1+5+10.1+4.4+27.6+138.2+84.6+48.3+7+80+25.2+24.2+134.7+26.1+4+0.6+36.8+2.2+18.6+12.6+42.1+2+65.9+54.9</f>
        <v>4936.800000000001</v>
      </c>
      <c r="E102" s="22">
        <f>D102/D150*100</f>
        <v>0.6111489372237835</v>
      </c>
      <c r="F102" s="22">
        <f>D102/B102*100</f>
        <v>82.0270831602559</v>
      </c>
      <c r="G102" s="22">
        <f aca="true" t="shared" si="12" ref="G102:G148">D102/C102*100</f>
        <v>47.416798732171166</v>
      </c>
      <c r="H102" s="87">
        <f aca="true" t="shared" si="13" ref="H102:H107">B102-D102</f>
        <v>1081.699999999999</v>
      </c>
      <c r="I102" s="87">
        <f aca="true" t="shared" si="14" ref="I102:I148">C102-D102</f>
        <v>5474.699999999999</v>
      </c>
    </row>
    <row r="103" spans="1:9" ht="18">
      <c r="A103" s="26" t="s">
        <v>3</v>
      </c>
      <c r="B103" s="97">
        <v>91.9</v>
      </c>
      <c r="C103" s="95">
        <v>187.6</v>
      </c>
      <c r="D103" s="95">
        <f>15.1+18.9-0.1+18.6</f>
        <v>52.5</v>
      </c>
      <c r="E103" s="91">
        <f>D103/D102*100</f>
        <v>1.0634419056878948</v>
      </c>
      <c r="F103" s="1">
        <f>D103/B103*100</f>
        <v>57.12731229597389</v>
      </c>
      <c r="G103" s="91">
        <f>D103/C103*100</f>
        <v>27.985074626865675</v>
      </c>
      <c r="H103" s="95">
        <f t="shared" si="13"/>
        <v>39.400000000000006</v>
      </c>
      <c r="I103" s="95">
        <f t="shared" si="14"/>
        <v>135.1</v>
      </c>
    </row>
    <row r="104" spans="1:9" ht="18">
      <c r="A104" s="93" t="s">
        <v>60</v>
      </c>
      <c r="B104" s="78">
        <v>4885.7</v>
      </c>
      <c r="C104" s="48">
        <f>8863.3-154-3.5-134.3</f>
        <v>8571.5</v>
      </c>
      <c r="D104" s="48">
        <f>39.8+388.5+20.6+2+26+40+4.1+126.5+407.9+18+31.2+40.6+134.1+2+40+303.9+135.8+32.6+7.9+0.1+62.1+159.2+45.1+355.5+2+51.4+35.4+235.2+53.1+32+115.3+110.8+43.6+27+79.7+149.6+58+51.2+190+5+10+27.6+137.4+57.3+28.2+0.1+71.7+17.8+134.5+24.2+4+36.4+12.5+21+2+45.1+54.9</f>
        <v>4347.499999999999</v>
      </c>
      <c r="E104" s="1">
        <f>D104/D102*100</f>
        <v>88.06311780910707</v>
      </c>
      <c r="F104" s="1">
        <f aca="true" t="shared" si="15" ref="F104:F148">D104/B104*100</f>
        <v>88.98417831631085</v>
      </c>
      <c r="G104" s="1">
        <f t="shared" si="12"/>
        <v>50.720410663244465</v>
      </c>
      <c r="H104" s="48">
        <f t="shared" si="13"/>
        <v>538.2000000000007</v>
      </c>
      <c r="I104" s="48">
        <f t="shared" si="14"/>
        <v>4224.000000000001</v>
      </c>
    </row>
    <row r="105" spans="1:9" ht="54.75" hidden="1" thickBot="1">
      <c r="A105" s="94" t="s">
        <v>96</v>
      </c>
      <c r="B105" s="96"/>
      <c r="C105" s="96"/>
      <c r="D105" s="96"/>
      <c r="E105" s="92">
        <f>D105/D102*100</f>
        <v>0</v>
      </c>
      <c r="F105" s="92" t="e">
        <f>D105/B105*100</f>
        <v>#DIV/0!</v>
      </c>
      <c r="G105" s="92" t="e">
        <f>D105/C105*100</f>
        <v>#DIV/0!</v>
      </c>
      <c r="H105" s="132">
        <f t="shared" si="13"/>
        <v>0</v>
      </c>
      <c r="I105" s="132">
        <f>C105-D105</f>
        <v>0</v>
      </c>
    </row>
    <row r="106" spans="1:9" ht="18.75" thickBot="1">
      <c r="A106" s="94" t="s">
        <v>34</v>
      </c>
      <c r="B106" s="96">
        <f>B102-B103-B104</f>
        <v>1040.9000000000005</v>
      </c>
      <c r="C106" s="96">
        <f>C102-C103-C104</f>
        <v>1652.3999999999996</v>
      </c>
      <c r="D106" s="96">
        <f>D102-D103-D104</f>
        <v>536.800000000002</v>
      </c>
      <c r="E106" s="92">
        <f>D106/D102*100</f>
        <v>10.873440285205028</v>
      </c>
      <c r="F106" s="92">
        <f t="shared" si="15"/>
        <v>51.57075607647245</v>
      </c>
      <c r="G106" s="92">
        <f t="shared" si="12"/>
        <v>32.48608085209405</v>
      </c>
      <c r="H106" s="132">
        <f>B106-D106</f>
        <v>504.09999999999854</v>
      </c>
      <c r="I106" s="132">
        <f t="shared" si="14"/>
        <v>1115.5999999999976</v>
      </c>
    </row>
    <row r="107" spans="1:9" s="2" customFormat="1" ht="26.25" customHeight="1" thickBot="1">
      <c r="A107" s="88" t="s">
        <v>35</v>
      </c>
      <c r="B107" s="89">
        <f>SUM(B108:B147)-B115-B119+B148-B139-B140-B109-B112-B122-B123-B137-B131-B129</f>
        <v>312320.69999999995</v>
      </c>
      <c r="C107" s="89">
        <f>SUM(C108:C147)-C115-C119+C148-C139-C140-C109-C112-C122-C123-C137-C131-C129</f>
        <v>479833.89999999997</v>
      </c>
      <c r="D107" s="89">
        <f>SUM(D108:D147)-D115-D119+D148-D139-D140-D109-D112-D122-D123-D137-D131-D129</f>
        <v>285360.4</v>
      </c>
      <c r="E107" s="90">
        <f>D107/D150*100</f>
        <v>35.32606246673022</v>
      </c>
      <c r="F107" s="90">
        <f>D107/B107*100</f>
        <v>91.36775116090611</v>
      </c>
      <c r="G107" s="90">
        <f t="shared" si="12"/>
        <v>59.47066266055817</v>
      </c>
      <c r="H107" s="89">
        <f t="shared" si="13"/>
        <v>26960.29999999993</v>
      </c>
      <c r="I107" s="89">
        <f t="shared" si="14"/>
        <v>194473.49999999994</v>
      </c>
    </row>
    <row r="108" spans="1:9" ht="37.5">
      <c r="A108" s="31" t="s">
        <v>64</v>
      </c>
      <c r="B108" s="75">
        <v>1264.4</v>
      </c>
      <c r="C108" s="71">
        <v>2166.2</v>
      </c>
      <c r="D108" s="76">
        <f>142.7+0.9+78.6+37.4+44.2+140.1+1+20.9+25.7+0.2+2+0.6+0.4+1.8+1.5-0.1+62.6+2.1+1.9+2.9+1+9.8+0.1+52+4.8+2+1.2+2+5.2+2.6-0.1+56.3+43+2.2+0.3+6.3+0.1</f>
        <v>756.1999999999998</v>
      </c>
      <c r="E108" s="6">
        <f>D108/D107*100</f>
        <v>0.264998226803719</v>
      </c>
      <c r="F108" s="6">
        <f t="shared" si="15"/>
        <v>59.80702309395759</v>
      </c>
      <c r="G108" s="6">
        <f t="shared" si="12"/>
        <v>34.909057335426084</v>
      </c>
      <c r="H108" s="65">
        <f aca="true" t="shared" si="16" ref="H108:H148">B108-D108</f>
        <v>508.2000000000003</v>
      </c>
      <c r="I108" s="65">
        <f t="shared" si="14"/>
        <v>1410</v>
      </c>
    </row>
    <row r="109" spans="1:9" ht="18">
      <c r="A109" s="26" t="s">
        <v>32</v>
      </c>
      <c r="B109" s="78">
        <v>680.3</v>
      </c>
      <c r="C109" s="48">
        <v>1213.5</v>
      </c>
      <c r="D109" s="79">
        <f>142.7+0.9+78.6+37.4+20.9+42.5+24.8+0.6+32.7</f>
        <v>381.09999999999997</v>
      </c>
      <c r="E109" s="1">
        <f>D109/D108*100</f>
        <v>50.3967204443269</v>
      </c>
      <c r="F109" s="1">
        <f t="shared" si="15"/>
        <v>56.019403204468624</v>
      </c>
      <c r="G109" s="1">
        <f t="shared" si="12"/>
        <v>31.405026782035435</v>
      </c>
      <c r="H109" s="48">
        <f t="shared" si="16"/>
        <v>299.2</v>
      </c>
      <c r="I109" s="48">
        <f t="shared" si="14"/>
        <v>832.4000000000001</v>
      </c>
    </row>
    <row r="110" spans="1:9" ht="34.5" customHeight="1">
      <c r="A110" s="16" t="s">
        <v>95</v>
      </c>
      <c r="B110" s="77">
        <v>298.5</v>
      </c>
      <c r="C110" s="65">
        <v>778.3</v>
      </c>
      <c r="D110" s="76">
        <f>26.5+20.2+7.7+37.4+7.5+38.9-0.1+38.9+12.6+45.5+9.7+1.6+37.6</f>
        <v>284</v>
      </c>
      <c r="E110" s="6">
        <f>D110/D107*100</f>
        <v>0.09952326952162949</v>
      </c>
      <c r="F110" s="6">
        <f>D110/B110*100</f>
        <v>95.14237855946399</v>
      </c>
      <c r="G110" s="6">
        <f t="shared" si="12"/>
        <v>36.48978542978286</v>
      </c>
      <c r="H110" s="65">
        <f t="shared" si="16"/>
        <v>14.5</v>
      </c>
      <c r="I110" s="65">
        <f t="shared" si="14"/>
        <v>494.29999999999995</v>
      </c>
    </row>
    <row r="111" spans="1:9" s="41" customFormat="1" ht="34.5" customHeight="1">
      <c r="A111" s="16" t="s">
        <v>71</v>
      </c>
      <c r="B111" s="77">
        <v>531.6</v>
      </c>
      <c r="C111" s="57">
        <v>774.1</v>
      </c>
      <c r="D111" s="80"/>
      <c r="E111" s="6">
        <f>D111/D107*100</f>
        <v>0</v>
      </c>
      <c r="F111" s="6">
        <f t="shared" si="15"/>
        <v>0</v>
      </c>
      <c r="G111" s="6">
        <f t="shared" si="12"/>
        <v>0</v>
      </c>
      <c r="H111" s="65">
        <f t="shared" si="16"/>
        <v>531.6</v>
      </c>
      <c r="I111" s="65">
        <f t="shared" si="14"/>
        <v>774.1</v>
      </c>
    </row>
    <row r="112" spans="1:9" ht="18" hidden="1">
      <c r="A112" s="26" t="s">
        <v>32</v>
      </c>
      <c r="B112" s="78"/>
      <c r="C112" s="48"/>
      <c r="D112" s="79"/>
      <c r="E112" s="1"/>
      <c r="F112" s="1" t="e">
        <f t="shared" si="15"/>
        <v>#DIV/0!</v>
      </c>
      <c r="G112" s="1" t="e">
        <f t="shared" si="12"/>
        <v>#DIV/0!</v>
      </c>
      <c r="H112" s="48">
        <f t="shared" si="16"/>
        <v>0</v>
      </c>
      <c r="I112" s="48">
        <f t="shared" si="14"/>
        <v>0</v>
      </c>
    </row>
    <row r="113" spans="1:9" ht="18.75">
      <c r="A113" s="16" t="s">
        <v>115</v>
      </c>
      <c r="B113" s="77">
        <v>40</v>
      </c>
      <c r="C113" s="65">
        <v>50</v>
      </c>
      <c r="D113" s="76">
        <f>5.8+4.7+0.7+0.7+1</f>
        <v>12.899999999999999</v>
      </c>
      <c r="E113" s="6">
        <f>D113/D107*100</f>
        <v>0.004520599214186691</v>
      </c>
      <c r="F113" s="6">
        <f t="shared" si="15"/>
        <v>32.24999999999999</v>
      </c>
      <c r="G113" s="6">
        <f t="shared" si="12"/>
        <v>25.799999999999994</v>
      </c>
      <c r="H113" s="65">
        <f t="shared" si="16"/>
        <v>27.1</v>
      </c>
      <c r="I113" s="65">
        <f t="shared" si="14"/>
        <v>37.1</v>
      </c>
    </row>
    <row r="114" spans="1:9" ht="37.5">
      <c r="A114" s="16" t="s">
        <v>46</v>
      </c>
      <c r="B114" s="77">
        <v>1067.5</v>
      </c>
      <c r="C114" s="65">
        <v>1795.8</v>
      </c>
      <c r="D114" s="76">
        <f>82.2+4.4+0.2+16.8+100.8+0.1+8.3+21.3+93.2+14.5+11.8+88.2+4.6+1.1+5.8+6+2.3+112.3+12.6+0.8+1.5+0.2+0.2+72.9+5.6+10.9+0.3+11.7+5.8+0.6+108.3</f>
        <v>805.3000000000001</v>
      </c>
      <c r="E114" s="6">
        <f>D114/D107*100</f>
        <v>0.2822045385414374</v>
      </c>
      <c r="F114" s="6">
        <f t="shared" si="15"/>
        <v>75.43793911007026</v>
      </c>
      <c r="G114" s="6">
        <f t="shared" si="12"/>
        <v>44.84352377770354</v>
      </c>
      <c r="H114" s="65">
        <f t="shared" si="16"/>
        <v>262.19999999999993</v>
      </c>
      <c r="I114" s="65">
        <f t="shared" si="14"/>
        <v>990.4999999999999</v>
      </c>
    </row>
    <row r="115" spans="1:9" ht="18" hidden="1">
      <c r="A115" s="37" t="s">
        <v>53</v>
      </c>
      <c r="B115" s="78"/>
      <c r="C115" s="48"/>
      <c r="D115" s="79"/>
      <c r="E115" s="6"/>
      <c r="F115" s="6" t="e">
        <f t="shared" si="15"/>
        <v>#DIV/0!</v>
      </c>
      <c r="G115" s="1" t="e">
        <f t="shared" si="12"/>
        <v>#DIV/0!</v>
      </c>
      <c r="H115" s="48">
        <f t="shared" si="16"/>
        <v>0</v>
      </c>
      <c r="I115" s="48">
        <f t="shared" si="14"/>
        <v>0</v>
      </c>
    </row>
    <row r="116" spans="1:9" s="41" customFormat="1" ht="18.75" customHeight="1">
      <c r="A116" s="16" t="s">
        <v>116</v>
      </c>
      <c r="B116" s="77">
        <v>91.5</v>
      </c>
      <c r="C116" s="57">
        <v>264.5</v>
      </c>
      <c r="D116" s="80"/>
      <c r="E116" s="17">
        <f>D116/D107*100</f>
        <v>0</v>
      </c>
      <c r="F116" s="6">
        <f t="shared" si="15"/>
        <v>0</v>
      </c>
      <c r="G116" s="17">
        <f t="shared" si="12"/>
        <v>0</v>
      </c>
      <c r="H116" s="57">
        <f t="shared" si="16"/>
        <v>91.5</v>
      </c>
      <c r="I116" s="57">
        <f t="shared" si="14"/>
        <v>264.5</v>
      </c>
    </row>
    <row r="117" spans="1:9" ht="37.5">
      <c r="A117" s="16" t="s">
        <v>57</v>
      </c>
      <c r="B117" s="77">
        <v>105</v>
      </c>
      <c r="C117" s="65">
        <v>110</v>
      </c>
      <c r="D117" s="76"/>
      <c r="E117" s="6">
        <f>D117/D107*100</f>
        <v>0</v>
      </c>
      <c r="F117" s="6">
        <f>D117/B117*100</f>
        <v>0</v>
      </c>
      <c r="G117" s="6">
        <f t="shared" si="12"/>
        <v>0</v>
      </c>
      <c r="H117" s="65">
        <f t="shared" si="16"/>
        <v>105</v>
      </c>
      <c r="I117" s="65">
        <f t="shared" si="14"/>
        <v>110</v>
      </c>
    </row>
    <row r="118" spans="1:9" s="2" customFormat="1" ht="18.75">
      <c r="A118" s="16" t="s">
        <v>16</v>
      </c>
      <c r="B118" s="77">
        <f>136.3</f>
        <v>136.3</v>
      </c>
      <c r="C118" s="57">
        <v>229.6</v>
      </c>
      <c r="D118" s="76">
        <f>17.1-0.3+0.8+0.3+21.4+4.2+0.3+17.6+4.2+0.8+0.3+16.8+0.3+2+2.2+17.7+1.1+4.1+17.7+0.8+4.3+0.3</f>
        <v>134</v>
      </c>
      <c r="E118" s="6">
        <f>D118/D107*100</f>
        <v>0.04695816237992377</v>
      </c>
      <c r="F118" s="6">
        <f t="shared" si="15"/>
        <v>98.3125458547322</v>
      </c>
      <c r="G118" s="6">
        <f t="shared" si="12"/>
        <v>58.36236933797909</v>
      </c>
      <c r="H118" s="65">
        <f t="shared" si="16"/>
        <v>2.3000000000000114</v>
      </c>
      <c r="I118" s="65">
        <f t="shared" si="14"/>
        <v>95.6</v>
      </c>
    </row>
    <row r="119" spans="1:9" s="36" customFormat="1" ht="18">
      <c r="A119" s="37" t="s">
        <v>53</v>
      </c>
      <c r="B119" s="78">
        <v>102.6</v>
      </c>
      <c r="C119" s="48">
        <v>170.2</v>
      </c>
      <c r="D119" s="79">
        <f>17.1-0.3+16.8+16.8+16.8+17.7+17.7</f>
        <v>102.60000000000001</v>
      </c>
      <c r="E119" s="1">
        <f>D119/D118*100</f>
        <v>76.56716417910448</v>
      </c>
      <c r="F119" s="1">
        <f t="shared" si="15"/>
        <v>100.00000000000003</v>
      </c>
      <c r="G119" s="1">
        <f t="shared" si="12"/>
        <v>60.28202115158637</v>
      </c>
      <c r="H119" s="48">
        <f t="shared" si="16"/>
        <v>0</v>
      </c>
      <c r="I119" s="48">
        <f t="shared" si="14"/>
        <v>67.59999999999998</v>
      </c>
    </row>
    <row r="120" spans="1:9" s="2" customFormat="1" ht="18.75" hidden="1">
      <c r="A120" s="16" t="s">
        <v>25</v>
      </c>
      <c r="B120" s="77"/>
      <c r="C120" s="57"/>
      <c r="D120" s="76"/>
      <c r="E120" s="6">
        <f>D120/D107*100</f>
        <v>0</v>
      </c>
      <c r="F120" s="6" t="e">
        <f t="shared" si="15"/>
        <v>#DIV/0!</v>
      </c>
      <c r="G120" s="6" t="e">
        <f t="shared" si="12"/>
        <v>#DIV/0!</v>
      </c>
      <c r="H120" s="65">
        <f t="shared" si="16"/>
        <v>0</v>
      </c>
      <c r="I120" s="65">
        <f t="shared" si="14"/>
        <v>0</v>
      </c>
    </row>
    <row r="121" spans="1:9" s="2" customFormat="1" ht="21.75" customHeight="1">
      <c r="A121" s="16" t="s">
        <v>44</v>
      </c>
      <c r="B121" s="77">
        <f>568.7-122</f>
        <v>446.70000000000005</v>
      </c>
      <c r="C121" s="57">
        <f>204.9+375.8-12</f>
        <v>568.7</v>
      </c>
      <c r="D121" s="80">
        <f>136.8+10+57.4</f>
        <v>204.20000000000002</v>
      </c>
      <c r="E121" s="17">
        <f>D121/D107*100</f>
        <v>0.07155863252224205</v>
      </c>
      <c r="F121" s="6">
        <f t="shared" si="15"/>
        <v>45.713006492052834</v>
      </c>
      <c r="G121" s="6">
        <f t="shared" si="12"/>
        <v>35.90645331457711</v>
      </c>
      <c r="H121" s="65">
        <f t="shared" si="16"/>
        <v>242.50000000000003</v>
      </c>
      <c r="I121" s="65">
        <f t="shared" si="14"/>
        <v>364.5</v>
      </c>
    </row>
    <row r="122" spans="1:9" s="110" customFormat="1" ht="18">
      <c r="A122" s="26" t="s">
        <v>97</v>
      </c>
      <c r="B122" s="78">
        <v>80</v>
      </c>
      <c r="C122" s="48">
        <v>80</v>
      </c>
      <c r="D122" s="79">
        <f>57.4</f>
        <v>57.4</v>
      </c>
      <c r="E122" s="6"/>
      <c r="F122" s="1">
        <f>D122/B122*100</f>
        <v>71.75</v>
      </c>
      <c r="G122" s="1">
        <f t="shared" si="12"/>
        <v>71.75</v>
      </c>
      <c r="H122" s="48">
        <f t="shared" si="16"/>
        <v>22.6</v>
      </c>
      <c r="I122" s="48">
        <f t="shared" si="14"/>
        <v>22.6</v>
      </c>
    </row>
    <row r="123" spans="1:9" s="110" customFormat="1" ht="18" hidden="1">
      <c r="A123" s="26" t="s">
        <v>61</v>
      </c>
      <c r="B123" s="78"/>
      <c r="C123" s="48"/>
      <c r="D123" s="79"/>
      <c r="E123" s="6"/>
      <c r="F123" s="1" t="e">
        <f>D123/B123*100</f>
        <v>#DIV/0!</v>
      </c>
      <c r="G123" s="1" t="e">
        <f t="shared" si="12"/>
        <v>#DIV/0!</v>
      </c>
      <c r="H123" s="48">
        <f t="shared" si="16"/>
        <v>0</v>
      </c>
      <c r="I123" s="48">
        <f t="shared" si="14"/>
        <v>0</v>
      </c>
    </row>
    <row r="124" spans="1:9" s="2" customFormat="1" ht="37.5">
      <c r="A124" s="16" t="s">
        <v>48</v>
      </c>
      <c r="B124" s="77">
        <v>12271</v>
      </c>
      <c r="C124" s="57">
        <f>5096.9+1707.5+6000</f>
        <v>12804.4</v>
      </c>
      <c r="D124" s="80">
        <f>3776+7.6+1124+100+14.3+14.5+0.1+20.4+3015.8+9+1156.5+27+0.1+1146.6+5.2+681+29.9+16.3+480.3</f>
        <v>11624.6</v>
      </c>
      <c r="E124" s="17">
        <f>D124/D107*100</f>
        <v>4.073655629863148</v>
      </c>
      <c r="F124" s="6">
        <f t="shared" si="15"/>
        <v>94.73229565642572</v>
      </c>
      <c r="G124" s="6">
        <f t="shared" si="12"/>
        <v>90.78597981943707</v>
      </c>
      <c r="H124" s="65">
        <f t="shared" si="16"/>
        <v>646.3999999999996</v>
      </c>
      <c r="I124" s="65">
        <f t="shared" si="14"/>
        <v>1179.7999999999993</v>
      </c>
    </row>
    <row r="125" spans="1:9" s="2" customFormat="1" ht="18.75">
      <c r="A125" s="16" t="s">
        <v>118</v>
      </c>
      <c r="B125" s="77">
        <v>890</v>
      </c>
      <c r="C125" s="57">
        <v>1239</v>
      </c>
      <c r="D125" s="80"/>
      <c r="E125" s="17">
        <f>D125/D107*100</f>
        <v>0</v>
      </c>
      <c r="F125" s="133">
        <f t="shared" si="15"/>
        <v>0</v>
      </c>
      <c r="G125" s="6">
        <f t="shared" si="12"/>
        <v>0</v>
      </c>
      <c r="H125" s="65">
        <f t="shared" si="16"/>
        <v>890</v>
      </c>
      <c r="I125" s="65">
        <f t="shared" si="14"/>
        <v>1239</v>
      </c>
    </row>
    <row r="126" spans="1:9" s="2" customFormat="1" ht="37.5">
      <c r="A126" s="16" t="s">
        <v>117</v>
      </c>
      <c r="B126" s="77">
        <v>0</v>
      </c>
      <c r="C126" s="57">
        <v>20</v>
      </c>
      <c r="D126" s="80"/>
      <c r="E126" s="17">
        <f>D126/D107*100</f>
        <v>0</v>
      </c>
      <c r="F126" s="133" t="e">
        <f t="shared" si="15"/>
        <v>#DIV/0!</v>
      </c>
      <c r="G126" s="6">
        <f t="shared" si="12"/>
        <v>0</v>
      </c>
      <c r="H126" s="65">
        <f t="shared" si="16"/>
        <v>0</v>
      </c>
      <c r="I126" s="65">
        <f t="shared" si="14"/>
        <v>20</v>
      </c>
    </row>
    <row r="127" spans="1:9" s="2" customFormat="1" ht="37.5">
      <c r="A127" s="16" t="s">
        <v>102</v>
      </c>
      <c r="B127" s="77">
        <f>95.1-5.2</f>
        <v>89.89999999999999</v>
      </c>
      <c r="C127" s="57">
        <v>95.1</v>
      </c>
      <c r="D127" s="80">
        <f>4.5+17.5+0.7</f>
        <v>22.7</v>
      </c>
      <c r="E127" s="17">
        <f>D127/D107*100</f>
        <v>0.007954852880778131</v>
      </c>
      <c r="F127" s="6">
        <f t="shared" si="15"/>
        <v>25.25027808676307</v>
      </c>
      <c r="G127" s="6">
        <f t="shared" si="12"/>
        <v>23.869610935856993</v>
      </c>
      <c r="H127" s="65">
        <f t="shared" si="16"/>
        <v>67.19999999999999</v>
      </c>
      <c r="I127" s="65">
        <f t="shared" si="14"/>
        <v>72.39999999999999</v>
      </c>
    </row>
    <row r="128" spans="1:9" s="2" customFormat="1" ht="37.5">
      <c r="A128" s="16" t="s">
        <v>74</v>
      </c>
      <c r="B128" s="77">
        <v>534.4</v>
      </c>
      <c r="C128" s="57">
        <v>983</v>
      </c>
      <c r="D128" s="80">
        <f>2.8+14.4+2.8+8.8+3.7+4+2.8+5.8+9.6+4.2+2.7+0.2+2.9+76+0.5+2.6+4.7+5.9+2.9</f>
        <v>157.29999999999998</v>
      </c>
      <c r="E128" s="17">
        <f>D128/D107*100</f>
        <v>0.055123275689268725</v>
      </c>
      <c r="F128" s="6">
        <f t="shared" si="15"/>
        <v>29.434880239520954</v>
      </c>
      <c r="G128" s="6">
        <f t="shared" si="12"/>
        <v>16.00203458799593</v>
      </c>
      <c r="H128" s="65">
        <f t="shared" si="16"/>
        <v>377.1</v>
      </c>
      <c r="I128" s="65">
        <f t="shared" si="14"/>
        <v>825.7</v>
      </c>
    </row>
    <row r="129" spans="1:9" s="36" customFormat="1" ht="18">
      <c r="A129" s="26" t="s">
        <v>111</v>
      </c>
      <c r="B129" s="78">
        <v>459.5</v>
      </c>
      <c r="C129" s="48">
        <v>851.8</v>
      </c>
      <c r="D129" s="79">
        <f>2.8+2.8-0.1+2.8+2.7+2.9+70.7+4.7+2.9</f>
        <v>92.20000000000002</v>
      </c>
      <c r="E129" s="1">
        <f>D129/D128*100</f>
        <v>58.61411315956773</v>
      </c>
      <c r="F129" s="1">
        <f>D129/B129*100</f>
        <v>20.06528835690969</v>
      </c>
      <c r="G129" s="1">
        <f t="shared" si="12"/>
        <v>10.82413712139</v>
      </c>
      <c r="H129" s="48">
        <f t="shared" si="16"/>
        <v>367.29999999999995</v>
      </c>
      <c r="I129" s="48">
        <f t="shared" si="14"/>
        <v>759.5999999999999</v>
      </c>
    </row>
    <row r="130" spans="1:9" s="2" customFormat="1" ht="18.75" hidden="1">
      <c r="A130" s="16" t="s">
        <v>69</v>
      </c>
      <c r="B130" s="77"/>
      <c r="C130" s="57"/>
      <c r="D130" s="80"/>
      <c r="E130" s="17">
        <f>D130/D107*100</f>
        <v>0</v>
      </c>
      <c r="F130" s="6" t="e">
        <f t="shared" si="15"/>
        <v>#DIV/0!</v>
      </c>
      <c r="G130" s="6" t="e">
        <f t="shared" si="12"/>
        <v>#DIV/0!</v>
      </c>
      <c r="H130" s="65">
        <f t="shared" si="16"/>
        <v>0</v>
      </c>
      <c r="I130" s="65">
        <f t="shared" si="14"/>
        <v>0</v>
      </c>
    </row>
    <row r="131" spans="1:9" s="36" customFormat="1" ht="18" hidden="1">
      <c r="A131" s="37" t="s">
        <v>53</v>
      </c>
      <c r="B131" s="78"/>
      <c r="C131" s="48"/>
      <c r="D131" s="79"/>
      <c r="E131" s="1"/>
      <c r="F131" s="1" t="e">
        <f>D131/B131*100</f>
        <v>#DIV/0!</v>
      </c>
      <c r="G131" s="1" t="e">
        <f t="shared" si="12"/>
        <v>#DIV/0!</v>
      </c>
      <c r="H131" s="48">
        <f t="shared" si="16"/>
        <v>0</v>
      </c>
      <c r="I131" s="48">
        <f t="shared" si="14"/>
        <v>0</v>
      </c>
    </row>
    <row r="132" spans="1:9" s="2" customFormat="1" ht="35.25" customHeight="1">
      <c r="A132" s="16" t="s">
        <v>68</v>
      </c>
      <c r="B132" s="77">
        <v>42.8</v>
      </c>
      <c r="C132" s="57">
        <v>64.1</v>
      </c>
      <c r="D132" s="80">
        <f>0.8+2.3+1.8+1+14.8</f>
        <v>20.7</v>
      </c>
      <c r="E132" s="17">
        <f>D132/D107*100</f>
        <v>0.007253984785555388</v>
      </c>
      <c r="F132" s="6">
        <f t="shared" si="15"/>
        <v>48.36448598130841</v>
      </c>
      <c r="G132" s="6">
        <f t="shared" si="12"/>
        <v>32.293291731669264</v>
      </c>
      <c r="H132" s="65">
        <f t="shared" si="16"/>
        <v>22.099999999999998</v>
      </c>
      <c r="I132" s="65">
        <f t="shared" si="14"/>
        <v>43.39999999999999</v>
      </c>
    </row>
    <row r="133" spans="1:9" s="2" customFormat="1" ht="35.25" customHeight="1" hidden="1">
      <c r="A133" s="16" t="s">
        <v>70</v>
      </c>
      <c r="B133" s="77"/>
      <c r="C133" s="57"/>
      <c r="D133" s="80"/>
      <c r="E133" s="17">
        <f>D133/D107*100</f>
        <v>0</v>
      </c>
      <c r="F133" s="6" t="e">
        <f t="shared" si="15"/>
        <v>#DIV/0!</v>
      </c>
      <c r="G133" s="6" t="e">
        <f t="shared" si="12"/>
        <v>#DIV/0!</v>
      </c>
      <c r="H133" s="65">
        <f t="shared" si="16"/>
        <v>0</v>
      </c>
      <c r="I133" s="65">
        <f t="shared" si="14"/>
        <v>0</v>
      </c>
    </row>
    <row r="134" spans="1:9" s="2" customFormat="1" ht="35.25" customHeight="1">
      <c r="A134" s="16" t="s">
        <v>109</v>
      </c>
      <c r="B134" s="77">
        <f>334.2-200</f>
        <v>134.2</v>
      </c>
      <c r="C134" s="57">
        <v>600</v>
      </c>
      <c r="D134" s="80">
        <f>0.8+5+0.9+2.6-0.1+0.6+0.1</f>
        <v>9.9</v>
      </c>
      <c r="E134" s="17">
        <f>D134/D107*100</f>
        <v>0.0034692970713525767</v>
      </c>
      <c r="F134" s="6">
        <f t="shared" si="15"/>
        <v>7.37704918032787</v>
      </c>
      <c r="G134" s="6">
        <f t="shared" si="12"/>
        <v>1.6500000000000001</v>
      </c>
      <c r="H134" s="65">
        <f t="shared" si="16"/>
        <v>124.29999999999998</v>
      </c>
      <c r="I134" s="65">
        <f t="shared" si="14"/>
        <v>590.1</v>
      </c>
    </row>
    <row r="135" spans="1:9" s="2" customFormat="1" ht="35.25" customHeight="1" hidden="1">
      <c r="A135" s="16" t="s">
        <v>110</v>
      </c>
      <c r="B135" s="77"/>
      <c r="C135" s="57"/>
      <c r="D135" s="80"/>
      <c r="E135" s="17">
        <f>D135/D107*100</f>
        <v>0</v>
      </c>
      <c r="F135" s="6" t="e">
        <f t="shared" si="15"/>
        <v>#DIV/0!</v>
      </c>
      <c r="G135" s="6" t="e">
        <f t="shared" si="12"/>
        <v>#DIV/0!</v>
      </c>
      <c r="H135" s="65">
        <f t="shared" si="16"/>
        <v>0</v>
      </c>
      <c r="I135" s="65">
        <f t="shared" si="14"/>
        <v>0</v>
      </c>
    </row>
    <row r="136" spans="1:9" s="2" customFormat="1" ht="37.5">
      <c r="A136" s="16" t="s">
        <v>101</v>
      </c>
      <c r="B136" s="77">
        <v>212</v>
      </c>
      <c r="C136" s="57">
        <v>363.7</v>
      </c>
      <c r="D136" s="80">
        <f>5.2+0.3+2.7+0.1+0.5+0.2+13.8+39.2+5+5.9+2+6.5+0.1+32.4+5+3.9+0.2+0.7+8.4+0.1+0.1+3+4.4</f>
        <v>139.70000000000002</v>
      </c>
      <c r="E136" s="17">
        <f>D136/D107*100</f>
        <v>0.048955636451308585</v>
      </c>
      <c r="F136" s="6">
        <f t="shared" si="15"/>
        <v>65.89622641509435</v>
      </c>
      <c r="G136" s="6">
        <f>D136/C136*100</f>
        <v>38.410778113830084</v>
      </c>
      <c r="H136" s="65">
        <f t="shared" si="16"/>
        <v>72.29999999999998</v>
      </c>
      <c r="I136" s="65">
        <f t="shared" si="14"/>
        <v>223.99999999999997</v>
      </c>
    </row>
    <row r="137" spans="1:9" s="36" customFormat="1" ht="18">
      <c r="A137" s="26" t="s">
        <v>32</v>
      </c>
      <c r="B137" s="78">
        <v>127.7</v>
      </c>
      <c r="C137" s="48">
        <v>218.8</v>
      </c>
      <c r="D137" s="79">
        <f>0.3+39.3+0.2+2+32.4+0.2-0.1+5.4+0.1</f>
        <v>79.8</v>
      </c>
      <c r="E137" s="111">
        <f>D137/D136*100</f>
        <v>57.12240515390121</v>
      </c>
      <c r="F137" s="1">
        <f t="shared" si="15"/>
        <v>62.49021143304619</v>
      </c>
      <c r="G137" s="1">
        <f>D137/C137*100</f>
        <v>36.47166361974406</v>
      </c>
      <c r="H137" s="48">
        <f t="shared" si="16"/>
        <v>47.900000000000006</v>
      </c>
      <c r="I137" s="48">
        <f t="shared" si="14"/>
        <v>139</v>
      </c>
    </row>
    <row r="138" spans="1:9" s="2" customFormat="1" ht="18.75">
      <c r="A138" s="16" t="s">
        <v>31</v>
      </c>
      <c r="B138" s="77">
        <v>684.3</v>
      </c>
      <c r="C138" s="57">
        <f>1160.2+12</f>
        <v>1172.2</v>
      </c>
      <c r="D138" s="80">
        <f>26.5+42.3+30.1+3.6+8.6+42.3+0.1+5.7+31.9+5.2+42.5+11.7+55+45.4+28.3+17.8+9.6+33.4+0.9+26.8+46.9+38.1-0.1+30.6+29.1+43.2</f>
        <v>655.5</v>
      </c>
      <c r="E138" s="17">
        <f>D138/D107*100</f>
        <v>0.22970951820925398</v>
      </c>
      <c r="F138" s="6">
        <f t="shared" si="15"/>
        <v>95.79131959666813</v>
      </c>
      <c r="G138" s="6">
        <f t="shared" si="12"/>
        <v>55.92049138372291</v>
      </c>
      <c r="H138" s="65">
        <f t="shared" si="16"/>
        <v>28.799999999999955</v>
      </c>
      <c r="I138" s="65">
        <f t="shared" si="14"/>
        <v>516.7</v>
      </c>
    </row>
    <row r="139" spans="1:9" s="36" customFormat="1" ht="18">
      <c r="A139" s="37" t="s">
        <v>53</v>
      </c>
      <c r="B139" s="78">
        <v>512.5</v>
      </c>
      <c r="C139" s="48">
        <v>886.2</v>
      </c>
      <c r="D139" s="79">
        <f>26.5+39.8+30.1+42.1+0.1+31.9+40.5+11.2+38.1+30.1+28.3+17.4+33.4+8.9+24.2+37.9+28.8+43.2</f>
        <v>512.5</v>
      </c>
      <c r="E139" s="1">
        <f>D139/D138*100</f>
        <v>78.18459191456904</v>
      </c>
      <c r="F139" s="1">
        <f aca="true" t="shared" si="17" ref="F139:F147">D139/B139*100</f>
        <v>100</v>
      </c>
      <c r="G139" s="1">
        <f t="shared" si="12"/>
        <v>57.83118934777703</v>
      </c>
      <c r="H139" s="48">
        <f t="shared" si="16"/>
        <v>0</v>
      </c>
      <c r="I139" s="48">
        <f t="shared" si="14"/>
        <v>373.70000000000005</v>
      </c>
    </row>
    <row r="140" spans="1:9" s="36" customFormat="1" ht="18">
      <c r="A140" s="26" t="s">
        <v>32</v>
      </c>
      <c r="B140" s="78">
        <v>22.9</v>
      </c>
      <c r="C140" s="48">
        <v>39.3</v>
      </c>
      <c r="D140" s="79">
        <f>8.6+0.2+0.3+5.1+0.4+5.3+0.3+0.3+0.2</f>
        <v>20.7</v>
      </c>
      <c r="E140" s="1">
        <f>D140/D138*100</f>
        <v>3.1578947368421053</v>
      </c>
      <c r="F140" s="1">
        <f t="shared" si="17"/>
        <v>90.39301310043668</v>
      </c>
      <c r="G140" s="1">
        <f>D140/C140*100</f>
        <v>52.67175572519084</v>
      </c>
      <c r="H140" s="48">
        <f t="shared" si="16"/>
        <v>2.1999999999999993</v>
      </c>
      <c r="I140" s="48">
        <f t="shared" si="14"/>
        <v>18.599999999999998</v>
      </c>
    </row>
    <row r="141" spans="1:9" s="2" customFormat="1" ht="56.25">
      <c r="A141" s="20" t="s">
        <v>106</v>
      </c>
      <c r="B141" s="77">
        <v>345</v>
      </c>
      <c r="C141" s="57">
        <v>345</v>
      </c>
      <c r="D141" s="80">
        <f>345</f>
        <v>345</v>
      </c>
      <c r="E141" s="17">
        <f>D141/D107*100</f>
        <v>0.12089974642592313</v>
      </c>
      <c r="F141" s="107">
        <f t="shared" si="17"/>
        <v>100</v>
      </c>
      <c r="G141" s="6">
        <f t="shared" si="12"/>
        <v>100</v>
      </c>
      <c r="H141" s="65">
        <f t="shared" si="16"/>
        <v>0</v>
      </c>
      <c r="I141" s="65">
        <f t="shared" si="14"/>
        <v>0</v>
      </c>
    </row>
    <row r="142" spans="1:9" s="2" customFormat="1" ht="18.75" hidden="1">
      <c r="A142" s="20" t="s">
        <v>108</v>
      </c>
      <c r="B142" s="77"/>
      <c r="C142" s="57"/>
      <c r="D142" s="80"/>
      <c r="E142" s="17">
        <f>D142/D107*100</f>
        <v>0</v>
      </c>
      <c r="F142" s="107" t="e">
        <f>D142/B142*100</f>
        <v>#DIV/0!</v>
      </c>
      <c r="G142" s="6" t="e">
        <f t="shared" si="12"/>
        <v>#DIV/0!</v>
      </c>
      <c r="H142" s="65">
        <f t="shared" si="16"/>
        <v>0</v>
      </c>
      <c r="I142" s="65">
        <f t="shared" si="14"/>
        <v>0</v>
      </c>
    </row>
    <row r="143" spans="1:9" s="2" customFormat="1" ht="18.75">
      <c r="A143" s="20" t="s">
        <v>103</v>
      </c>
      <c r="B143" s="77">
        <v>26066.1</v>
      </c>
      <c r="C143" s="57">
        <f>16744+15000+2000-2607.4</f>
        <v>31136.6</v>
      </c>
      <c r="D143" s="80">
        <f>112.8+55.6+128.7+0.1+105.3+21.7+331.5+41.9+106.9+1197.5+64.4+33.5+768.6+5.6+65.8+1473+34.4+335.2+312.9+1166.8+460.5+1222.9+80.6+345.1+0.1+100+568+208.9+692.3+545.3+256.2+7.3+541.9+187.1+120.3+189.7+763.7+106.1+275.6+3020.5+51.8+369.9+152.3+1900.1+0.2+105.3+1278.3+11+454+278.3+766.1</f>
        <v>21421.599999999995</v>
      </c>
      <c r="E143" s="17">
        <f>D143/D107*100</f>
        <v>7.506857994311752</v>
      </c>
      <c r="F143" s="107">
        <f t="shared" si="17"/>
        <v>82.18183771258452</v>
      </c>
      <c r="G143" s="6">
        <f t="shared" si="12"/>
        <v>68.79877700198479</v>
      </c>
      <c r="H143" s="65">
        <f t="shared" si="16"/>
        <v>4644.500000000004</v>
      </c>
      <c r="I143" s="65">
        <f t="shared" si="14"/>
        <v>9715.000000000004</v>
      </c>
    </row>
    <row r="144" spans="1:9" s="2" customFormat="1" ht="18.75" hidden="1">
      <c r="A144" s="20" t="s">
        <v>104</v>
      </c>
      <c r="B144" s="77"/>
      <c r="C144" s="57"/>
      <c r="D144" s="80"/>
      <c r="E144" s="17">
        <f>D144/D107*100</f>
        <v>0</v>
      </c>
      <c r="F144" s="107" t="e">
        <f t="shared" si="17"/>
        <v>#DIV/0!</v>
      </c>
      <c r="G144" s="6" t="e">
        <f t="shared" si="12"/>
        <v>#DIV/0!</v>
      </c>
      <c r="H144" s="65">
        <f t="shared" si="16"/>
        <v>0</v>
      </c>
      <c r="I144" s="65">
        <f t="shared" si="14"/>
        <v>0</v>
      </c>
    </row>
    <row r="145" spans="1:9" s="2" customFormat="1" ht="18.75">
      <c r="A145" s="16" t="s">
        <v>107</v>
      </c>
      <c r="B145" s="77">
        <v>2177.7</v>
      </c>
      <c r="C145" s="57">
        <f>6504.8-4188</f>
        <v>2316.8</v>
      </c>
      <c r="D145" s="80">
        <f>2094</f>
        <v>2094</v>
      </c>
      <c r="E145" s="17">
        <f>D145/D107*100</f>
        <v>0.7338088956982117</v>
      </c>
      <c r="F145" s="107">
        <f t="shared" si="17"/>
        <v>96.15649538503926</v>
      </c>
      <c r="G145" s="6">
        <f t="shared" si="12"/>
        <v>90.38328729281767</v>
      </c>
      <c r="H145" s="65">
        <f t="shared" si="16"/>
        <v>83.69999999999982</v>
      </c>
      <c r="I145" s="65">
        <f t="shared" si="14"/>
        <v>222.80000000000018</v>
      </c>
    </row>
    <row r="146" spans="1:12" s="2" customFormat="1" ht="18.75" customHeight="1">
      <c r="A146" s="16" t="s">
        <v>94</v>
      </c>
      <c r="B146" s="77">
        <v>602.7</v>
      </c>
      <c r="C146" s="57">
        <v>602.7</v>
      </c>
      <c r="D146" s="80">
        <f>568.7+16.6-0.1+15.4+2.1</f>
        <v>602.7</v>
      </c>
      <c r="E146" s="17">
        <f>D146/D107*100</f>
        <v>0.2112066004953736</v>
      </c>
      <c r="F146" s="107">
        <f t="shared" si="17"/>
        <v>100</v>
      </c>
      <c r="G146" s="6">
        <f t="shared" si="12"/>
        <v>100</v>
      </c>
      <c r="H146" s="65">
        <f t="shared" si="16"/>
        <v>0</v>
      </c>
      <c r="I146" s="65">
        <f t="shared" si="14"/>
        <v>0</v>
      </c>
      <c r="K146" s="42"/>
      <c r="L146" s="42"/>
    </row>
    <row r="147" spans="1:12" s="2" customFormat="1" ht="19.5" customHeight="1">
      <c r="A147" s="16" t="s">
        <v>62</v>
      </c>
      <c r="B147" s="77">
        <f>245894.5+1477</f>
        <v>247371.5</v>
      </c>
      <c r="C147" s="57">
        <f>298394.8+81857.1-188.4+8192+4136.9-39.9</f>
        <v>392352.5</v>
      </c>
      <c r="D147" s="80">
        <f>26548.7+545.5+173+4155.7+7306.3+113.6+824.5+6.1+72.3+8+1047.4+410+6261.9+444+5000+62+300+4421.1+9632.9+10381.2+4798+2674.1+4582.7+1925.2+5487.5+2575.7+1386.8+2800+3291.9+2943.8+6733.2+8553.9-805.6+5278.7+2003.9+49.6+345.1+3306.6+4469.6+5409.1+3675.7+2737.2+2197.2+4047.6+9675.8+15870.5+9518.1+214.4+3758.9+1514.4+737.1+3410.5+6394+2234+2690.6+2983.8+4077.9+1542.2+7154.2</f>
        <v>229958.10000000003</v>
      </c>
      <c r="E147" s="17">
        <f>D147/D107*100</f>
        <v>80.58514776402052</v>
      </c>
      <c r="F147" s="6">
        <f t="shared" si="17"/>
        <v>92.9606280432467</v>
      </c>
      <c r="G147" s="6">
        <f t="shared" si="12"/>
        <v>58.61007639813689</v>
      </c>
      <c r="H147" s="65">
        <f t="shared" si="16"/>
        <v>17413.399999999965</v>
      </c>
      <c r="I147" s="65">
        <f t="shared" si="14"/>
        <v>162394.39999999997</v>
      </c>
      <c r="K147" s="99"/>
      <c r="L147" s="42"/>
    </row>
    <row r="148" spans="1:12" s="2" customFormat="1" ht="18.75">
      <c r="A148" s="16" t="s">
        <v>105</v>
      </c>
      <c r="B148" s="77">
        <v>16917.6</v>
      </c>
      <c r="C148" s="57">
        <v>29001.6</v>
      </c>
      <c r="D148" s="80">
        <f>805.6+805.6+805.6+805.6+805.6+805.6+805.6+805.6+805.6+805.6+805.6+805.6+805.6+805.6+805.6+805.6+805.6+805.6+805.6+805.6</f>
        <v>16112.000000000005</v>
      </c>
      <c r="E148" s="17">
        <f>D148/D107*100</f>
        <v>5.646193375114418</v>
      </c>
      <c r="F148" s="6">
        <f t="shared" si="15"/>
        <v>95.23809523809528</v>
      </c>
      <c r="G148" s="6">
        <f t="shared" si="12"/>
        <v>55.55555555555558</v>
      </c>
      <c r="H148" s="65">
        <f t="shared" si="16"/>
        <v>805.5999999999931</v>
      </c>
      <c r="I148" s="65">
        <f t="shared" si="14"/>
        <v>12889.599999999993</v>
      </c>
      <c r="K148" s="42"/>
      <c r="L148" s="42"/>
    </row>
    <row r="149" spans="1:12" s="2" customFormat="1" ht="19.5" thickBot="1">
      <c r="A149" s="38" t="s">
        <v>36</v>
      </c>
      <c r="B149" s="81">
        <f>B43+B69+B72+B77+B79+B87+B102+B107+B100+B84+B98</f>
        <v>319270.1</v>
      </c>
      <c r="C149" s="81">
        <f>C43+C69+C72+C77+C79+C87+C102+C107+C100+C84+C98</f>
        <v>493497.39999999997</v>
      </c>
      <c r="D149" s="57">
        <f>D43+D69+D72+D77+D79+D87+D102+D107+D100+D84+D98</f>
        <v>291010.9</v>
      </c>
      <c r="E149" s="17"/>
      <c r="F149" s="17"/>
      <c r="G149" s="6"/>
      <c r="H149" s="65"/>
      <c r="I149" s="57"/>
      <c r="K149" s="42"/>
      <c r="L149" s="42"/>
    </row>
    <row r="150" spans="1:12" ht="19.5" thickBot="1">
      <c r="A150" s="13" t="s">
        <v>19</v>
      </c>
      <c r="B150" s="51">
        <f>B6+B18+B33+B43+B51+B59+B69+B72+B77+B79+B87+B90+B95+B102+B107+B100+B84+B98+B45</f>
        <v>884900.5</v>
      </c>
      <c r="C150" s="51">
        <f>C6+C18+C33+C43+C51+C59+C69+C72+C77+C79+C87+C90+C95+C102+C107+C100+C84+C98+C45</f>
        <v>1395710.9000000001</v>
      </c>
      <c r="D150" s="51">
        <f>D6+D18+D33+D43+D51+D59+D69+D72+D77+D79+D87+D90+D95+D102+D107+D100+D84+D98+D45</f>
        <v>807790</v>
      </c>
      <c r="E150" s="35">
        <v>100</v>
      </c>
      <c r="F150" s="3">
        <f>D150/B150*100</f>
        <v>91.28596943950195</v>
      </c>
      <c r="G150" s="3">
        <f aca="true" t="shared" si="18" ref="G150:G156">D150/C150*100</f>
        <v>57.87659894323387</v>
      </c>
      <c r="H150" s="51">
        <f aca="true" t="shared" si="19" ref="H150:H156">B150-D150</f>
        <v>77110.5</v>
      </c>
      <c r="I150" s="51">
        <f aca="true" t="shared" si="20" ref="I150:I156">C150-D150</f>
        <v>587920.9000000001</v>
      </c>
      <c r="K150" s="43"/>
      <c r="L150" s="44"/>
    </row>
    <row r="151" spans="1:12" ht="18.75">
      <c r="A151" s="20" t="s">
        <v>5</v>
      </c>
      <c r="B151" s="64">
        <f>B8+B20+B34+B52+B60+B91+B115+B119+B46+B139+B131+B103</f>
        <v>364291.1</v>
      </c>
      <c r="C151" s="64">
        <f>C8+C20+C34+C52+C60+C91+C115+C119+C46+C139+C131+C103</f>
        <v>589171.4999999998</v>
      </c>
      <c r="D151" s="64">
        <f>D8+D20+D34+D52+D60+D91+D115+D119+D46+D139+D131+D103</f>
        <v>358612.9999999998</v>
      </c>
      <c r="E151" s="6">
        <f>D151/D150*100</f>
        <v>44.39433516136618</v>
      </c>
      <c r="F151" s="6">
        <f aca="true" t="shared" si="21" ref="F151:F162">D151/B151*100</f>
        <v>98.44132892623504</v>
      </c>
      <c r="G151" s="6">
        <f t="shared" si="18"/>
        <v>60.86733659044946</v>
      </c>
      <c r="H151" s="65">
        <f t="shared" si="19"/>
        <v>5678.100000000151</v>
      </c>
      <c r="I151" s="76">
        <f t="shared" si="20"/>
        <v>230558.49999999994</v>
      </c>
      <c r="K151" s="43"/>
      <c r="L151" s="44"/>
    </row>
    <row r="152" spans="1:12" ht="18.75">
      <c r="A152" s="20" t="s">
        <v>0</v>
      </c>
      <c r="B152" s="65">
        <f>B11+B23+B36+B55+B62+B92+B49+B140+B109+B112+B96+B137</f>
        <v>69438.1</v>
      </c>
      <c r="C152" s="65">
        <f>C11+C23+C36+C55+C62+C92+C49+C140+C109+C112+C96+C137</f>
        <v>114196.40000000001</v>
      </c>
      <c r="D152" s="65">
        <f>D11+D23+D36+D55+D62+D92+D49+D140+D109+D112+D96+D137</f>
        <v>52013.1</v>
      </c>
      <c r="E152" s="6">
        <f>D152/D150*100</f>
        <v>6.438938337934363</v>
      </c>
      <c r="F152" s="6">
        <f t="shared" si="21"/>
        <v>74.90570738542672</v>
      </c>
      <c r="G152" s="6">
        <f t="shared" si="18"/>
        <v>45.54705752545614</v>
      </c>
      <c r="H152" s="65">
        <f t="shared" si="19"/>
        <v>17425.000000000007</v>
      </c>
      <c r="I152" s="76">
        <f t="shared" si="20"/>
        <v>62183.30000000001</v>
      </c>
      <c r="K152" s="43"/>
      <c r="L152" s="98"/>
    </row>
    <row r="153" spans="1:12" ht="18.75">
      <c r="A153" s="20" t="s">
        <v>1</v>
      </c>
      <c r="B153" s="64">
        <f>B22+B10+B54+B48+B61+B35+B123</f>
        <v>20895.499999999996</v>
      </c>
      <c r="C153" s="64">
        <f>C22+C10+C54+C48+C61+C35+C123</f>
        <v>31721.800000000003</v>
      </c>
      <c r="D153" s="64">
        <f>D22+D10+D54+D48+D61+D35+D123</f>
        <v>17108.200000000004</v>
      </c>
      <c r="E153" s="6">
        <f>D153/D150*100</f>
        <v>2.1179019299570436</v>
      </c>
      <c r="F153" s="6">
        <f t="shared" si="21"/>
        <v>81.87504486611954</v>
      </c>
      <c r="G153" s="6">
        <f t="shared" si="18"/>
        <v>53.93199629277028</v>
      </c>
      <c r="H153" s="65">
        <f t="shared" si="19"/>
        <v>3787.299999999992</v>
      </c>
      <c r="I153" s="76">
        <f t="shared" si="20"/>
        <v>14613.599999999999</v>
      </c>
      <c r="K153" s="43"/>
      <c r="L153" s="44"/>
    </row>
    <row r="154" spans="1:12" ht="21" customHeight="1">
      <c r="A154" s="20" t="s">
        <v>15</v>
      </c>
      <c r="B154" s="64">
        <f>B12+B24+B104+B63+B38+B93+B129+B56</f>
        <v>18042.7</v>
      </c>
      <c r="C154" s="64">
        <f>C12+C24+C104+C63+C38+C93+C129+C56</f>
        <v>29347.1</v>
      </c>
      <c r="D154" s="64">
        <f>D12+D24+D104+D63+D38+D93+D129+D56</f>
        <v>12905.100000000002</v>
      </c>
      <c r="E154" s="6">
        <f>D154/D150*100</f>
        <v>1.5975810544819822</v>
      </c>
      <c r="F154" s="6">
        <f t="shared" si="21"/>
        <v>71.52532603213488</v>
      </c>
      <c r="G154" s="6">
        <f t="shared" si="18"/>
        <v>43.97402128319324</v>
      </c>
      <c r="H154" s="65">
        <f t="shared" si="19"/>
        <v>5137.5999999999985</v>
      </c>
      <c r="I154" s="76">
        <f t="shared" si="20"/>
        <v>16441.999999999996</v>
      </c>
      <c r="K154" s="43"/>
      <c r="L154" s="98"/>
    </row>
    <row r="155" spans="1:12" ht="18.75">
      <c r="A155" s="20" t="s">
        <v>2</v>
      </c>
      <c r="B155" s="64">
        <f>B9+B21+B47+B53+B122</f>
        <v>14908.099999999999</v>
      </c>
      <c r="C155" s="64">
        <f>C9+C21+C47+C53+C122</f>
        <v>21243.1</v>
      </c>
      <c r="D155" s="64">
        <f>D9+D21+D47+D53+D122</f>
        <v>12843.900000000001</v>
      </c>
      <c r="E155" s="6">
        <f>D155/D150*100</f>
        <v>1.5900048279874721</v>
      </c>
      <c r="F155" s="6">
        <f t="shared" si="21"/>
        <v>86.15383583421095</v>
      </c>
      <c r="G155" s="6">
        <f t="shared" si="18"/>
        <v>60.46151456237556</v>
      </c>
      <c r="H155" s="65">
        <f t="shared" si="19"/>
        <v>2064.199999999997</v>
      </c>
      <c r="I155" s="76">
        <f t="shared" si="20"/>
        <v>8399.199999999997</v>
      </c>
      <c r="K155" s="43"/>
      <c r="L155" s="44"/>
    </row>
    <row r="156" spans="1:12" ht="19.5" thickBot="1">
      <c r="A156" s="20" t="s">
        <v>34</v>
      </c>
      <c r="B156" s="64">
        <f>B150-B151-B152-B153-B154-B155</f>
        <v>397325.00000000006</v>
      </c>
      <c r="C156" s="64">
        <f>C150-C151-C152-C153-C154-C155</f>
        <v>610031.0000000003</v>
      </c>
      <c r="D156" s="64">
        <f>D150-D151-D152-D153-D154-D155</f>
        <v>354306.7000000002</v>
      </c>
      <c r="E156" s="6">
        <f>D156/D150*100</f>
        <v>43.86123868827296</v>
      </c>
      <c r="F156" s="6">
        <f t="shared" si="21"/>
        <v>89.17301956836347</v>
      </c>
      <c r="G156" s="40">
        <f t="shared" si="18"/>
        <v>58.08011396142163</v>
      </c>
      <c r="H156" s="65">
        <f t="shared" si="19"/>
        <v>43018.29999999987</v>
      </c>
      <c r="I156" s="65">
        <f t="shared" si="20"/>
        <v>255724.30000000016</v>
      </c>
      <c r="K156" s="43"/>
      <c r="L156" s="98"/>
    </row>
    <row r="157" spans="1:12" ht="5.25" customHeight="1" thickBot="1">
      <c r="A157" s="32"/>
      <c r="B157" s="82"/>
      <c r="C157" s="83"/>
      <c r="D157" s="83"/>
      <c r="E157" s="18"/>
      <c r="F157" s="18"/>
      <c r="G157" s="18"/>
      <c r="H157" s="18"/>
      <c r="I157" s="19"/>
      <c r="K157" s="43"/>
      <c r="L157" s="43"/>
    </row>
    <row r="158" spans="1:12" ht="18.75">
      <c r="A158" s="29" t="s">
        <v>21</v>
      </c>
      <c r="B158" s="84">
        <f>22970.4-100+550+29.9+110+417.7</f>
        <v>23978.000000000004</v>
      </c>
      <c r="C158" s="70">
        <f>35718.9-832.3</f>
        <v>34886.6</v>
      </c>
      <c r="D158" s="70">
        <f>33+3.1+31.8+118.6+8.5+18.3+41+591.6+0.1+448.4+20+14.4+41.3+31.5+458.7+42.9+92.6+54.3+185.1+276.9+138.9+420.8+189.7+128.4+1374+1199.8+948.5+463.6+2.3+2.2+200+677.2</f>
        <v>8257.500000000002</v>
      </c>
      <c r="E158" s="14"/>
      <c r="F158" s="6">
        <f t="shared" si="21"/>
        <v>34.43781799983318</v>
      </c>
      <c r="G158" s="6">
        <f aca="true" t="shared" si="22" ref="G158:G167">D158/C158*100</f>
        <v>23.669546473431065</v>
      </c>
      <c r="H158" s="65">
        <f>B158-D158</f>
        <v>15720.500000000002</v>
      </c>
      <c r="I158" s="65">
        <f aca="true" t="shared" si="23" ref="I158:I167">C158-D158</f>
        <v>26629.1</v>
      </c>
      <c r="K158" s="43"/>
      <c r="L158" s="43"/>
    </row>
    <row r="159" spans="1:12" ht="18.75">
      <c r="A159" s="20" t="s">
        <v>22</v>
      </c>
      <c r="B159" s="85">
        <f>25703.8-400+720</f>
        <v>26023.8</v>
      </c>
      <c r="C159" s="64">
        <f>51080.5+400</f>
        <v>51480.5</v>
      </c>
      <c r="D159" s="64">
        <f>100+49.9+293.6+174.2+159.5+52+404.4+89.3+150+694.7+650+637.7+888.1+1549.4+1150.4+28.8+73+685+233.1+79.4+200+254.7+419.8+99.5+57.1+1.6+2862.1+4096.9+63.4+185.1+178.3+1864.4</f>
        <v>18425.4</v>
      </c>
      <c r="E159" s="6"/>
      <c r="F159" s="6">
        <f t="shared" si="21"/>
        <v>70.80211191294123</v>
      </c>
      <c r="G159" s="6">
        <f t="shared" si="22"/>
        <v>35.79102767067142</v>
      </c>
      <c r="H159" s="65">
        <f aca="true" t="shared" si="24" ref="H159:H166">B159-D159</f>
        <v>7598.399999999998</v>
      </c>
      <c r="I159" s="65">
        <f t="shared" si="23"/>
        <v>33055.1</v>
      </c>
      <c r="K159" s="43"/>
      <c r="L159" s="43"/>
    </row>
    <row r="160" spans="1:12" ht="18.75">
      <c r="A160" s="20" t="s">
        <v>58</v>
      </c>
      <c r="B160" s="85">
        <f>187976.7-550-29.9-110-17.7+1477-1477-720</f>
        <v>186549.1</v>
      </c>
      <c r="C160" s="64">
        <f>332753.4-60000+332.5-4923.4</f>
        <v>268162.5</v>
      </c>
      <c r="D160" s="64">
        <f>12.5+3344.4+45.2+21.2+85.3+173+1150+146+881.8+6.7+72.3+7.9+1090.6+406.5+1979.4+513.5+90.2+25+189.9+299.5+4617.2+143.8+383.9+349+1337.3+105+3537.4+179.7+0.2+347+89.2+455.4+1183.6+1049+2489.3+7883.1+586.6+2942+1168.8+1161.9+3138.3+5.5+4318.4-100+1567.6+1721+1320.7+1420.9+574.5+103.4+6032+2119.5+308.3+61.3-211.3+3307.3+3555.3+793.5+341.4+414+1037.3+2700.7+62.1+513.6-21.8+523.9+11473.2+6029.9+604.8+30+771+3780.1+2092.8+4737.5+860.6+514.3+1111.5+8+299.3+489.8+1553.9+546.9+459.7+238.7-28+1021.6+19.5+43.6</f>
        <v>112816.40000000002</v>
      </c>
      <c r="E160" s="6"/>
      <c r="F160" s="6">
        <f t="shared" si="21"/>
        <v>60.47544587457136</v>
      </c>
      <c r="G160" s="6">
        <f t="shared" si="22"/>
        <v>42.07016268121009</v>
      </c>
      <c r="H160" s="65">
        <f t="shared" si="24"/>
        <v>73732.69999999998</v>
      </c>
      <c r="I160" s="65">
        <f t="shared" si="23"/>
        <v>155346.09999999998</v>
      </c>
      <c r="K160" s="43"/>
      <c r="L160" s="43"/>
    </row>
    <row r="161" spans="1:12" ht="37.5">
      <c r="A161" s="20" t="s">
        <v>67</v>
      </c>
      <c r="B161" s="85">
        <v>1477</v>
      </c>
      <c r="C161" s="64">
        <v>4923.4</v>
      </c>
      <c r="D161" s="64">
        <f>1477</f>
        <v>1477</v>
      </c>
      <c r="E161" s="6"/>
      <c r="F161" s="6">
        <f t="shared" si="21"/>
        <v>100</v>
      </c>
      <c r="G161" s="6">
        <f t="shared" si="22"/>
        <v>29.999593776658408</v>
      </c>
      <c r="H161" s="65">
        <f t="shared" si="24"/>
        <v>0</v>
      </c>
      <c r="I161" s="65">
        <f t="shared" si="23"/>
        <v>3446.3999999999996</v>
      </c>
      <c r="K161" s="43"/>
      <c r="L161" s="43"/>
    </row>
    <row r="162" spans="1:12" ht="18.75">
      <c r="A162" s="20" t="s">
        <v>13</v>
      </c>
      <c r="B162" s="85">
        <f>9458.4-150</f>
        <v>9308.4</v>
      </c>
      <c r="C162" s="64">
        <f>9501+4181.1</f>
        <v>13682.1</v>
      </c>
      <c r="D162" s="64">
        <f>49.9+127.8+39.6+53.8+398.2+8.4+32.5+231.9+89.8+103.6+52.4+19.2+179.2+118+109.5+32.3+81.3+0.1+165.4+333.7+47.5+192.2+86.9+18.7+23.4+29.9+20+910.7+69.7+74+286.2+38+40.3+12.5+359+340.9+125.3+186.9+37.9+212+48.2</f>
        <v>5386.799999999998</v>
      </c>
      <c r="E162" s="17"/>
      <c r="F162" s="6">
        <f t="shared" si="21"/>
        <v>57.8703106871213</v>
      </c>
      <c r="G162" s="6">
        <f t="shared" si="22"/>
        <v>39.371149165698235</v>
      </c>
      <c r="H162" s="65">
        <f t="shared" si="24"/>
        <v>3921.6000000000013</v>
      </c>
      <c r="I162" s="65">
        <f t="shared" si="23"/>
        <v>8295.300000000003</v>
      </c>
      <c r="K162" s="43"/>
      <c r="L162" s="43"/>
    </row>
    <row r="163" spans="1:12" ht="18.75" hidden="1">
      <c r="A163" s="20" t="s">
        <v>26</v>
      </c>
      <c r="B163" s="85"/>
      <c r="C163" s="64"/>
      <c r="D163" s="64"/>
      <c r="E163" s="17"/>
      <c r="F163" s="6" t="e">
        <f>D163/B163*100</f>
        <v>#DIV/0!</v>
      </c>
      <c r="G163" s="6" t="e">
        <f t="shared" si="22"/>
        <v>#DIV/0!</v>
      </c>
      <c r="H163" s="65">
        <f t="shared" si="24"/>
        <v>0</v>
      </c>
      <c r="I163" s="65">
        <f t="shared" si="23"/>
        <v>0</v>
      </c>
      <c r="K163" s="43"/>
      <c r="L163" s="43"/>
    </row>
    <row r="164" spans="1:9" ht="19.5" thickBot="1">
      <c r="A164" s="20" t="s">
        <v>52</v>
      </c>
      <c r="B164" s="85">
        <v>1170.7</v>
      </c>
      <c r="C164" s="64">
        <v>2118.3</v>
      </c>
      <c r="D164" s="64">
        <f>394.4+14+15.3</f>
        <v>423.7</v>
      </c>
      <c r="E164" s="17"/>
      <c r="F164" s="6">
        <f>D164/B164*100</f>
        <v>36.1920218672589</v>
      </c>
      <c r="G164" s="6">
        <f t="shared" si="22"/>
        <v>20.001888306661</v>
      </c>
      <c r="H164" s="65">
        <f t="shared" si="24"/>
        <v>747</v>
      </c>
      <c r="I164" s="65">
        <f t="shared" si="23"/>
        <v>1694.6000000000001</v>
      </c>
    </row>
    <row r="165" spans="1:9" ht="19.5" customHeight="1" hidden="1">
      <c r="A165" s="20" t="s">
        <v>65</v>
      </c>
      <c r="B165" s="85"/>
      <c r="C165" s="64"/>
      <c r="D165" s="64"/>
      <c r="E165" s="17"/>
      <c r="F165" s="6" t="e">
        <f>D165/B165*100</f>
        <v>#DIV/0!</v>
      </c>
      <c r="G165" s="6" t="e">
        <f t="shared" si="22"/>
        <v>#DIV/0!</v>
      </c>
      <c r="H165" s="65">
        <f t="shared" si="24"/>
        <v>0</v>
      </c>
      <c r="I165" s="65">
        <f t="shared" si="23"/>
        <v>0</v>
      </c>
    </row>
    <row r="166" spans="1:9" ht="19.5" hidden="1" thickBot="1">
      <c r="A166" s="20" t="s">
        <v>59</v>
      </c>
      <c r="B166" s="85"/>
      <c r="C166" s="86"/>
      <c r="D166" s="86"/>
      <c r="E166" s="21"/>
      <c r="F166" s="6" t="e">
        <f>D166/B166*100</f>
        <v>#DIV/0!</v>
      </c>
      <c r="G166" s="6" t="e">
        <f t="shared" si="22"/>
        <v>#DIV/0!</v>
      </c>
      <c r="H166" s="65">
        <f t="shared" si="24"/>
        <v>0</v>
      </c>
      <c r="I166" s="65">
        <f t="shared" si="23"/>
        <v>0</v>
      </c>
    </row>
    <row r="167" spans="1:9" ht="19.5" thickBot="1">
      <c r="A167" s="13" t="s">
        <v>20</v>
      </c>
      <c r="B167" s="87">
        <f>B150+B158+B162+B163+B159+B166+B165+B160+B164+B161</f>
        <v>1133407.5</v>
      </c>
      <c r="C167" s="87">
        <f>C150+C158+C162+C163+C159+C166+C165+C160+C164+C161</f>
        <v>1770964.3000000003</v>
      </c>
      <c r="D167" s="87">
        <f>D150+D158+D162+D163+D159+D166+D165+D160+D164+D161</f>
        <v>954576.8</v>
      </c>
      <c r="E167" s="22"/>
      <c r="F167" s="3">
        <f>D167/B167*100</f>
        <v>84.22185312872908</v>
      </c>
      <c r="G167" s="3">
        <f t="shared" si="22"/>
        <v>53.901526981656254</v>
      </c>
      <c r="H167" s="51">
        <f>B167-D167</f>
        <v>178830.69999999995</v>
      </c>
      <c r="I167" s="51">
        <f t="shared" si="23"/>
        <v>816387.5000000002</v>
      </c>
    </row>
    <row r="168" spans="7:8" ht="12.75">
      <c r="G168" s="23"/>
      <c r="H168" s="23"/>
    </row>
    <row r="169" spans="7:9" ht="12.75">
      <c r="G169" s="23"/>
      <c r="H169" s="23"/>
      <c r="I169" s="23"/>
    </row>
    <row r="170" spans="7:8" ht="12.75">
      <c r="G170" s="23"/>
      <c r="H170" s="23"/>
    </row>
    <row r="171" spans="7:8" ht="12.75">
      <c r="G171" s="23"/>
      <c r="H171" s="23"/>
    </row>
    <row r="172" spans="7:8" ht="12.75">
      <c r="G172" s="23"/>
      <c r="H172" s="23"/>
    </row>
    <row r="173" spans="7:8" ht="12.75">
      <c r="G173" s="23"/>
      <c r="H173" s="23"/>
    </row>
    <row r="174" spans="7:8" ht="12.75">
      <c r="G174" s="23"/>
      <c r="H174" s="23"/>
    </row>
    <row r="175" spans="7:8" ht="12.75">
      <c r="G175" s="23"/>
      <c r="H175" s="23"/>
    </row>
    <row r="176" spans="7:8" ht="12.75">
      <c r="G176" s="23"/>
      <c r="H176" s="23"/>
    </row>
    <row r="177" spans="7:8" ht="12.75">
      <c r="G177" s="23"/>
      <c r="H177" s="23"/>
    </row>
    <row r="178" spans="7:8" ht="12.75">
      <c r="G178" s="23"/>
      <c r="H178" s="23"/>
    </row>
    <row r="179" spans="7:8" ht="12.75">
      <c r="G179" s="23"/>
      <c r="H179" s="23"/>
    </row>
    <row r="180" spans="7:8" ht="12.75">
      <c r="G180" s="23"/>
      <c r="H180" s="23"/>
    </row>
    <row r="181" spans="7:8" ht="12.75">
      <c r="G181" s="23"/>
      <c r="H181" s="23"/>
    </row>
    <row r="182" spans="7:8" ht="12.75">
      <c r="G182" s="23"/>
      <c r="H182" s="23"/>
    </row>
    <row r="183" spans="7:8" ht="12.75">
      <c r="G183" s="23"/>
      <c r="H183" s="23"/>
    </row>
    <row r="184" spans="7:8" ht="12.75">
      <c r="G184" s="23"/>
      <c r="H184" s="23"/>
    </row>
    <row r="185" spans="7:8" ht="12.75">
      <c r="G185" s="23"/>
      <c r="H185" s="23"/>
    </row>
    <row r="186" spans="7:8" ht="12.75">
      <c r="G186" s="23"/>
      <c r="H186" s="23"/>
    </row>
    <row r="187" spans="7:8" ht="12.75">
      <c r="G187" s="23"/>
      <c r="H187" s="23"/>
    </row>
    <row r="188" spans="7:8" ht="12.75">
      <c r="G188" s="23"/>
      <c r="H188" s="23"/>
    </row>
    <row r="189" spans="7:8" ht="12.75">
      <c r="G189" s="23"/>
      <c r="H189" s="23"/>
    </row>
    <row r="190" spans="7:8" ht="12.75">
      <c r="G190" s="23"/>
      <c r="H190" s="23"/>
    </row>
    <row r="191" spans="7:8" ht="12.75">
      <c r="G191" s="23"/>
      <c r="H191" s="23"/>
    </row>
    <row r="192" spans="7:8" ht="12.75">
      <c r="G192" s="23"/>
      <c r="H192" s="23"/>
    </row>
    <row r="193" spans="7:8" ht="12.75">
      <c r="G193" s="23"/>
      <c r="H193" s="23"/>
    </row>
    <row r="194" spans="7:8" ht="12.75">
      <c r="G194" s="23"/>
      <c r="H194" s="23"/>
    </row>
    <row r="195" spans="7:8" ht="12.75">
      <c r="G195" s="23"/>
      <c r="H195" s="23"/>
    </row>
    <row r="196" spans="7:8" ht="12.75">
      <c r="G196" s="23"/>
      <c r="H196" s="23"/>
    </row>
    <row r="197" spans="7:8" ht="12.75">
      <c r="G197" s="23"/>
      <c r="H197" s="23"/>
    </row>
    <row r="198" spans="7:8" ht="12.75">
      <c r="G198" s="23"/>
      <c r="H198" s="23"/>
    </row>
    <row r="199" spans="7:8" ht="12.75">
      <c r="G199" s="23"/>
      <c r="H199" s="23"/>
    </row>
    <row r="200" spans="7:8" ht="12.75">
      <c r="G200" s="23"/>
      <c r="H200" s="23"/>
    </row>
    <row r="201" spans="7:8" ht="12.75">
      <c r="G201" s="23"/>
      <c r="H201" s="23"/>
    </row>
    <row r="202" spans="7:8" ht="12.75">
      <c r="G202" s="23"/>
      <c r="H202" s="23"/>
    </row>
    <row r="203" spans="7:8" ht="12.75">
      <c r="G203" s="23"/>
      <c r="H203" s="23"/>
    </row>
    <row r="204" spans="7:8" ht="12.75">
      <c r="G204" s="23"/>
      <c r="H204" s="23"/>
    </row>
    <row r="205" spans="7:8" ht="12.75">
      <c r="G205" s="23"/>
      <c r="H205" s="23"/>
    </row>
    <row r="206" spans="7:8" ht="12.75">
      <c r="G206" s="23"/>
      <c r="H206" s="23"/>
    </row>
    <row r="207" spans="7:8" ht="12.75">
      <c r="G207" s="23"/>
      <c r="H207" s="23"/>
    </row>
    <row r="208" spans="7:8" ht="12.75">
      <c r="G208" s="23"/>
      <c r="H208" s="23"/>
    </row>
    <row r="209" spans="7:8" ht="12.75">
      <c r="G209" s="23"/>
      <c r="H209" s="23"/>
    </row>
    <row r="210" spans="7:8" ht="12.75">
      <c r="G210" s="23"/>
      <c r="H210" s="23"/>
    </row>
    <row r="211" spans="7:8" ht="12.75">
      <c r="G211" s="23"/>
      <c r="H211" s="23"/>
    </row>
    <row r="212" spans="7:8" ht="12.75">
      <c r="G212" s="23"/>
      <c r="H212" s="23"/>
    </row>
    <row r="213" spans="7:8" ht="12.75">
      <c r="G213" s="23"/>
      <c r="H213" s="23"/>
    </row>
    <row r="214" spans="7:8" ht="12.75">
      <c r="G214" s="23"/>
      <c r="H214" s="23"/>
    </row>
    <row r="215" spans="7:8" ht="12.75">
      <c r="G215" s="23"/>
      <c r="H215" s="23"/>
    </row>
    <row r="216" spans="7:8" ht="12.75">
      <c r="G216" s="23"/>
      <c r="H216" s="23"/>
    </row>
    <row r="217" spans="7:8" ht="12.75">
      <c r="G217" s="23"/>
      <c r="H217" s="23"/>
    </row>
    <row r="218" spans="7:8" ht="12.75">
      <c r="G218" s="23"/>
      <c r="H218" s="23"/>
    </row>
    <row r="219" spans="7:8" ht="12.75">
      <c r="G219" s="23"/>
      <c r="H219" s="23"/>
    </row>
    <row r="220" spans="7:8" ht="12.75">
      <c r="G220" s="23"/>
      <c r="H220" s="23"/>
    </row>
    <row r="221" spans="7:8" ht="12.75">
      <c r="G221" s="23"/>
      <c r="H221" s="23"/>
    </row>
    <row r="222" spans="7:8" ht="12.75">
      <c r="G222" s="23"/>
      <c r="H222" s="23"/>
    </row>
    <row r="223" spans="7:8" ht="12.75">
      <c r="G223" s="23"/>
      <c r="H223" s="23"/>
    </row>
    <row r="224" spans="7:8" ht="12.75">
      <c r="G224" s="23"/>
      <c r="H224" s="23"/>
    </row>
    <row r="225" spans="7:8" ht="12.75">
      <c r="G225" s="23"/>
      <c r="H225" s="23"/>
    </row>
    <row r="226" spans="7:8" ht="12.75">
      <c r="G226" s="23"/>
      <c r="H226" s="23"/>
    </row>
    <row r="227" spans="7:8" ht="12.75">
      <c r="G227" s="23"/>
      <c r="H227" s="23"/>
    </row>
    <row r="228" spans="7:8" ht="12.75">
      <c r="G228" s="23"/>
      <c r="H228" s="23"/>
    </row>
    <row r="229" spans="7:8" ht="12.75">
      <c r="G229" s="23"/>
      <c r="H229" s="23"/>
    </row>
    <row r="230" spans="7:8" ht="12.75">
      <c r="G230" s="23"/>
      <c r="H230" s="23"/>
    </row>
    <row r="231" spans="7:8" ht="12.75">
      <c r="G231" s="23"/>
      <c r="H231" s="23"/>
    </row>
    <row r="232" spans="7:8" ht="12.75">
      <c r="G232" s="23"/>
      <c r="H232" s="23"/>
    </row>
    <row r="233" spans="7:8" ht="12.75">
      <c r="G233" s="23"/>
      <c r="H233" s="23"/>
    </row>
    <row r="234" spans="7:8" ht="12.75">
      <c r="G234" s="23"/>
      <c r="H234" s="23"/>
    </row>
    <row r="235" spans="7:8" ht="12.75">
      <c r="G235" s="23"/>
      <c r="H235" s="23"/>
    </row>
    <row r="236" spans="7:8" ht="12.75">
      <c r="G236" s="23"/>
      <c r="H236" s="23"/>
    </row>
    <row r="237" spans="7:8" ht="12.75">
      <c r="G237" s="23"/>
      <c r="H237" s="23"/>
    </row>
    <row r="238" spans="7:8" ht="12.75">
      <c r="G238" s="23"/>
      <c r="H238" s="23"/>
    </row>
    <row r="239" spans="7:8" ht="12.75">
      <c r="G239" s="23"/>
      <c r="H239" s="23"/>
    </row>
    <row r="240" spans="7:8" ht="12.75">
      <c r="G240" s="23"/>
      <c r="H240" s="23"/>
    </row>
    <row r="241" spans="7:8" ht="12.75">
      <c r="G241" s="23"/>
      <c r="H241" s="23"/>
    </row>
    <row r="242" spans="7:8" ht="12.75">
      <c r="G242" s="23"/>
      <c r="H242" s="23"/>
    </row>
    <row r="243" spans="7:8" ht="12.75">
      <c r="G243" s="23"/>
      <c r="H243" s="23"/>
    </row>
    <row r="244" spans="7:8" ht="12.75">
      <c r="G244" s="23"/>
      <c r="H244" s="23"/>
    </row>
    <row r="245" spans="7:8" ht="12.75">
      <c r="G245" s="23"/>
      <c r="H245" s="23"/>
    </row>
    <row r="246" spans="7:8" ht="12.75">
      <c r="G246" s="23"/>
      <c r="H246" s="23"/>
    </row>
    <row r="247" spans="7:8" ht="12.75">
      <c r="G247" s="23"/>
      <c r="H247" s="23"/>
    </row>
    <row r="248" spans="7:8" ht="12.75">
      <c r="G248" s="23"/>
      <c r="H248" s="23"/>
    </row>
    <row r="249" spans="7:8" ht="12.75">
      <c r="G249" s="23"/>
      <c r="H249" s="23"/>
    </row>
    <row r="250" spans="7:8" ht="12.75">
      <c r="G250" s="23"/>
      <c r="H250" s="23"/>
    </row>
    <row r="251" spans="7:8" ht="12.75">
      <c r="G251" s="23"/>
      <c r="H251" s="23"/>
    </row>
    <row r="252" spans="7:8" ht="12.75">
      <c r="G252" s="23"/>
      <c r="H252" s="23"/>
    </row>
    <row r="253" spans="7:8" ht="12.75">
      <c r="G253" s="23"/>
      <c r="H253" s="23"/>
    </row>
    <row r="254" spans="7:8" ht="12.75">
      <c r="G254" s="23"/>
      <c r="H254" s="23"/>
    </row>
    <row r="255" spans="7:8" ht="12.75">
      <c r="G255" s="23"/>
      <c r="H255" s="23"/>
    </row>
    <row r="256" spans="7:8" ht="12.75">
      <c r="G256" s="23"/>
      <c r="H256" s="23"/>
    </row>
    <row r="257" spans="7:8" ht="12.75">
      <c r="G257" s="23"/>
      <c r="H257" s="23"/>
    </row>
    <row r="258" spans="7:8" ht="12.75">
      <c r="G258" s="23"/>
      <c r="H258" s="23"/>
    </row>
    <row r="259" spans="7:8" ht="12.75">
      <c r="G259" s="23"/>
      <c r="H259" s="23"/>
    </row>
    <row r="260" spans="7:8" ht="12.75">
      <c r="G260" s="23"/>
      <c r="H260" s="23"/>
    </row>
    <row r="261" spans="7:8" ht="12.75">
      <c r="G261" s="23"/>
      <c r="H261" s="23"/>
    </row>
    <row r="262" spans="7:8" ht="12.75">
      <c r="G262" s="23"/>
      <c r="H262" s="23"/>
    </row>
    <row r="263" spans="7:8" ht="12.75">
      <c r="G263" s="23"/>
      <c r="H263" s="23"/>
    </row>
    <row r="264" spans="7:8" ht="12.75">
      <c r="G264" s="23"/>
      <c r="H264" s="23"/>
    </row>
    <row r="265" spans="7:8" ht="12.75">
      <c r="G265" s="23"/>
      <c r="H265" s="23"/>
    </row>
    <row r="266" spans="7:8" ht="12.75">
      <c r="G266" s="23"/>
      <c r="H266" s="23"/>
    </row>
    <row r="267" spans="7:8" ht="12.75">
      <c r="G267" s="23"/>
      <c r="H267" s="23"/>
    </row>
    <row r="268" spans="7:8" ht="12.75">
      <c r="G268" s="23"/>
      <c r="H268" s="23"/>
    </row>
    <row r="269" spans="7:8" ht="12.75">
      <c r="G269" s="23"/>
      <c r="H269" s="23"/>
    </row>
    <row r="270" spans="7:8" ht="12.75">
      <c r="G270" s="23"/>
      <c r="H270" s="23"/>
    </row>
    <row r="271" spans="7:8" ht="12.75">
      <c r="G271" s="23"/>
      <c r="H271" s="23"/>
    </row>
    <row r="272" spans="7:8" ht="12.75">
      <c r="G272" s="23"/>
      <c r="H272" s="23"/>
    </row>
    <row r="273" spans="7:8" ht="12.75">
      <c r="G273" s="23"/>
      <c r="H273" s="23"/>
    </row>
    <row r="274" spans="7:8" ht="12.75">
      <c r="G274" s="23"/>
      <c r="H274" s="23"/>
    </row>
    <row r="275" spans="7:8" ht="12.75">
      <c r="G275" s="23"/>
      <c r="H275" s="23"/>
    </row>
    <row r="276" spans="7:8" ht="12.75">
      <c r="G276" s="23"/>
      <c r="H276" s="23"/>
    </row>
    <row r="277" spans="7:8" ht="12.75">
      <c r="G277" s="23"/>
      <c r="H277" s="23"/>
    </row>
    <row r="278" spans="7:8" ht="12.75">
      <c r="G278" s="23"/>
      <c r="H278" s="23"/>
    </row>
    <row r="279" spans="7:8" ht="12.75">
      <c r="G279" s="23"/>
      <c r="H279" s="23"/>
    </row>
    <row r="280" spans="7:8" ht="12.75">
      <c r="G280" s="23"/>
      <c r="H280" s="23"/>
    </row>
    <row r="281" spans="7:8" ht="12.75">
      <c r="G281" s="23"/>
      <c r="H281" s="23"/>
    </row>
    <row r="282" spans="7:8" ht="12.75">
      <c r="G282" s="23"/>
      <c r="H282" s="23"/>
    </row>
    <row r="283" spans="7:8" ht="12.75">
      <c r="G283" s="23"/>
      <c r="H283" s="23"/>
    </row>
    <row r="284" spans="7:8" ht="12.75">
      <c r="G284" s="23"/>
      <c r="H284" s="23"/>
    </row>
    <row r="285" spans="7:8" ht="12.75">
      <c r="G285" s="23"/>
      <c r="H285" s="23"/>
    </row>
    <row r="286" spans="7:8" ht="12.75">
      <c r="G286" s="23"/>
      <c r="H286" s="23"/>
    </row>
    <row r="287" spans="7:8" ht="12.75">
      <c r="G287" s="23"/>
      <c r="H287" s="23"/>
    </row>
    <row r="288" spans="7:8" ht="12.75">
      <c r="G288" s="23"/>
      <c r="H288" s="23"/>
    </row>
    <row r="289" spans="7:8" ht="12.75">
      <c r="G289" s="23"/>
      <c r="H289" s="23"/>
    </row>
    <row r="290" spans="7:8" ht="12.75">
      <c r="G290" s="23"/>
      <c r="H290" s="23"/>
    </row>
    <row r="291" spans="7:8" ht="12.75">
      <c r="G291" s="23"/>
      <c r="H291" s="23"/>
    </row>
    <row r="292" spans="7:8" ht="12.75">
      <c r="G292" s="23"/>
      <c r="H292" s="23"/>
    </row>
    <row r="293" spans="7:8" ht="12.75">
      <c r="G293" s="23"/>
      <c r="H293" s="23"/>
    </row>
    <row r="294" spans="7:8" ht="12.75">
      <c r="G294" s="23"/>
      <c r="H294" s="23"/>
    </row>
    <row r="295" spans="7:8" ht="12.75">
      <c r="G295" s="23"/>
      <c r="H295" s="23"/>
    </row>
    <row r="296" spans="7:8" ht="12.75">
      <c r="G296" s="23"/>
      <c r="H296" s="23"/>
    </row>
    <row r="297" spans="7:8" ht="12.75">
      <c r="G297" s="23"/>
      <c r="H297" s="23"/>
    </row>
    <row r="298" spans="7:8" ht="12.75">
      <c r="G298" s="23"/>
      <c r="H298" s="23"/>
    </row>
    <row r="299" spans="7:8" ht="12.75">
      <c r="G299" s="23"/>
      <c r="H299" s="23"/>
    </row>
    <row r="300" spans="7:8" ht="12.75">
      <c r="G300" s="23"/>
      <c r="H300" s="23"/>
    </row>
    <row r="301" spans="7:8" ht="12.75">
      <c r="G301" s="23"/>
      <c r="H301" s="23"/>
    </row>
    <row r="302" spans="7:8" ht="12.75">
      <c r="G302" s="23"/>
      <c r="H302" s="23"/>
    </row>
    <row r="303" spans="7:8" ht="12.75">
      <c r="G303" s="23"/>
      <c r="H303" s="23"/>
    </row>
    <row r="304" spans="7:8" ht="12.75">
      <c r="G304" s="23"/>
      <c r="H304" s="23"/>
    </row>
    <row r="305" spans="7:8" ht="12.75">
      <c r="G305" s="23"/>
      <c r="H305" s="23"/>
    </row>
    <row r="306" spans="7:8" ht="12.75">
      <c r="G306" s="23"/>
      <c r="H306" s="23"/>
    </row>
    <row r="307" spans="7:8" ht="12.75">
      <c r="G307" s="23"/>
      <c r="H307" s="23"/>
    </row>
    <row r="308" spans="7:8" ht="12.75">
      <c r="G308" s="23"/>
      <c r="H308" s="23"/>
    </row>
    <row r="309" spans="7:8" ht="12.75">
      <c r="G309" s="23"/>
      <c r="H309" s="23"/>
    </row>
    <row r="310" spans="7:8" ht="12.75">
      <c r="G310" s="23"/>
      <c r="H310" s="23"/>
    </row>
    <row r="311" spans="7:8" ht="12.75">
      <c r="G311" s="23"/>
      <c r="H311" s="23"/>
    </row>
    <row r="312" spans="7:8" ht="12.75">
      <c r="G312" s="23"/>
      <c r="H312" s="23"/>
    </row>
    <row r="313" spans="7:8" ht="12.75">
      <c r="G313" s="23"/>
      <c r="H313" s="23"/>
    </row>
    <row r="314" spans="7:8" ht="12.75">
      <c r="G314" s="23"/>
      <c r="H314" s="23"/>
    </row>
    <row r="315" spans="7:8" ht="12.75">
      <c r="G315" s="23"/>
      <c r="H315" s="23"/>
    </row>
    <row r="316" spans="7:8" ht="12.75">
      <c r="G316" s="23"/>
      <c r="H316" s="23"/>
    </row>
    <row r="317" spans="7:8" ht="12.75">
      <c r="G317" s="23"/>
      <c r="H317" s="23"/>
    </row>
    <row r="318" spans="7:8" ht="12.75">
      <c r="G318" s="23"/>
      <c r="H318" s="23"/>
    </row>
    <row r="319" spans="7:8" ht="12.75">
      <c r="G319" s="23"/>
      <c r="H319" s="23"/>
    </row>
    <row r="320" spans="7:8" ht="12.75">
      <c r="G320" s="23"/>
      <c r="H320" s="23"/>
    </row>
    <row r="321" spans="7:8" ht="12.75">
      <c r="G321" s="23"/>
      <c r="H321" s="23"/>
    </row>
    <row r="322" spans="7:8" ht="12.75">
      <c r="G322" s="23"/>
      <c r="H322" s="23"/>
    </row>
    <row r="323" spans="7:8" ht="12.75">
      <c r="G323" s="23"/>
      <c r="H323" s="23"/>
    </row>
    <row r="324" spans="7:8" ht="12.75">
      <c r="G324" s="23"/>
      <c r="H324" s="23"/>
    </row>
    <row r="325" spans="7:8" ht="12.75">
      <c r="G325" s="23"/>
      <c r="H325" s="23"/>
    </row>
    <row r="326" spans="7:8" ht="12.75">
      <c r="G326" s="23"/>
      <c r="H326" s="23"/>
    </row>
    <row r="327" spans="7:8" ht="12.75">
      <c r="G327" s="23"/>
      <c r="H327" s="23"/>
    </row>
    <row r="328" spans="7:8" ht="12.75">
      <c r="G328" s="23"/>
      <c r="H328" s="23"/>
    </row>
    <row r="329" spans="7:8" ht="12.75">
      <c r="G329" s="23"/>
      <c r="H329" s="23"/>
    </row>
    <row r="330" spans="7:8" ht="12.75">
      <c r="G330" s="23"/>
      <c r="H330" s="23"/>
    </row>
    <row r="331" spans="7:8" ht="12.75">
      <c r="G331" s="23"/>
      <c r="H331" s="23"/>
    </row>
    <row r="332" spans="7:8" ht="12.75">
      <c r="G332" s="23"/>
      <c r="H332" s="23"/>
    </row>
    <row r="333" spans="7:8" ht="12.75">
      <c r="G333" s="23"/>
      <c r="H333" s="23"/>
    </row>
    <row r="334" spans="7:8" ht="12.75">
      <c r="G334" s="23"/>
      <c r="H334" s="23"/>
    </row>
    <row r="335" spans="7:8" ht="12.75">
      <c r="G335" s="23"/>
      <c r="H335" s="23"/>
    </row>
    <row r="336" spans="7:8" ht="12.75">
      <c r="G336" s="23"/>
      <c r="H336" s="23"/>
    </row>
    <row r="337" spans="7:8" ht="12.75">
      <c r="G337" s="23"/>
      <c r="H337" s="23"/>
    </row>
    <row r="338" spans="7:8" ht="12.75">
      <c r="G338" s="23"/>
      <c r="H338" s="23"/>
    </row>
    <row r="339" spans="7:8" ht="12.75">
      <c r="G339" s="23"/>
      <c r="H339" s="23"/>
    </row>
    <row r="340" spans="7:8" ht="12.75">
      <c r="G340" s="23"/>
      <c r="H340" s="23"/>
    </row>
    <row r="341" spans="7:8" ht="12.75">
      <c r="G341" s="23"/>
      <c r="H341" s="23"/>
    </row>
    <row r="342" spans="7:8" ht="12.75">
      <c r="G342" s="23"/>
      <c r="H342" s="23"/>
    </row>
    <row r="343" spans="7:8" ht="12.75">
      <c r="G343" s="23"/>
      <c r="H343" s="23"/>
    </row>
    <row r="344" spans="7:8" ht="12.75">
      <c r="G344" s="23"/>
      <c r="H344" s="23"/>
    </row>
    <row r="345" spans="7:8" ht="12.75">
      <c r="G345" s="23"/>
      <c r="H345" s="23"/>
    </row>
    <row r="346" spans="7:8" ht="12.75">
      <c r="G346" s="23"/>
      <c r="H346" s="23"/>
    </row>
    <row r="347" spans="7:8" ht="12.75">
      <c r="G347" s="23"/>
      <c r="H347" s="23"/>
    </row>
    <row r="348" spans="7:8" ht="12.75">
      <c r="G348" s="23"/>
      <c r="H348" s="23"/>
    </row>
    <row r="349" spans="7:8" ht="12.75">
      <c r="G349" s="23"/>
      <c r="H349" s="23"/>
    </row>
    <row r="350" spans="7:8" ht="12.75">
      <c r="G350" s="23"/>
      <c r="H350" s="23"/>
    </row>
    <row r="351" spans="7:8" ht="12.75">
      <c r="G351" s="23"/>
      <c r="H351" s="23"/>
    </row>
    <row r="352" spans="7:8" ht="12.75">
      <c r="G352" s="23"/>
      <c r="H352" s="23"/>
    </row>
    <row r="353" spans="7:8" ht="12.75">
      <c r="G353" s="23"/>
      <c r="H353" s="23"/>
    </row>
    <row r="354" spans="7:8" ht="12.75">
      <c r="G354" s="23"/>
      <c r="H354" s="23"/>
    </row>
    <row r="355" spans="7:8" ht="12.75">
      <c r="G355" s="23"/>
      <c r="H355" s="23"/>
    </row>
    <row r="356" spans="7:8" ht="12.75">
      <c r="G356" s="23"/>
      <c r="H356" s="23"/>
    </row>
    <row r="357" spans="7:8" ht="12.75">
      <c r="G357" s="23"/>
      <c r="H357" s="23"/>
    </row>
    <row r="358" spans="7:8" ht="12.75">
      <c r="G358" s="23"/>
      <c r="H358" s="23"/>
    </row>
    <row r="359" spans="7:8" ht="12.75">
      <c r="G359" s="23"/>
      <c r="H359" s="23"/>
    </row>
    <row r="360" spans="7:8" ht="12.75">
      <c r="G360" s="23"/>
      <c r="H360" s="23"/>
    </row>
    <row r="361" spans="7:8" ht="12.75">
      <c r="G361" s="23"/>
      <c r="H361" s="23"/>
    </row>
    <row r="362" spans="7:8" ht="12.75">
      <c r="G362" s="23"/>
      <c r="H362" s="23"/>
    </row>
    <row r="363" spans="7:8" ht="12.75">
      <c r="G363" s="23"/>
      <c r="H363" s="23"/>
    </row>
    <row r="364" spans="7:8" ht="12.75">
      <c r="G364" s="23"/>
      <c r="H364" s="23"/>
    </row>
    <row r="365" spans="7:8" ht="12.75">
      <c r="G365" s="23"/>
      <c r="H365" s="23"/>
    </row>
    <row r="366" spans="7:8" ht="12.75">
      <c r="G366" s="23"/>
      <c r="H366" s="23"/>
    </row>
    <row r="367" spans="7:8" ht="12.75">
      <c r="G367" s="23"/>
      <c r="H367" s="23"/>
    </row>
    <row r="368" spans="7:8" ht="12.75">
      <c r="G368" s="23"/>
      <c r="H368" s="23"/>
    </row>
    <row r="369" spans="7:8" ht="12.75">
      <c r="G369" s="23"/>
      <c r="H369" s="23"/>
    </row>
    <row r="370" spans="7:8" ht="12.75">
      <c r="G370" s="23"/>
      <c r="H370" s="23"/>
    </row>
    <row r="371" spans="7:8" ht="12.75">
      <c r="G371" s="23"/>
      <c r="H371" s="23"/>
    </row>
    <row r="372" spans="7:8" ht="12.75">
      <c r="G372" s="23"/>
      <c r="H372" s="23"/>
    </row>
    <row r="373" spans="7:8" ht="12.75">
      <c r="G373" s="23"/>
      <c r="H373" s="23"/>
    </row>
    <row r="374" spans="7:8" ht="12.75">
      <c r="G374" s="23"/>
      <c r="H374" s="23"/>
    </row>
    <row r="375" spans="7:8" ht="12.75">
      <c r="G375" s="23"/>
      <c r="H375" s="23"/>
    </row>
    <row r="376" spans="7:8" ht="12.75">
      <c r="G376" s="23"/>
      <c r="H376" s="23"/>
    </row>
    <row r="377" spans="7:8" ht="12.75">
      <c r="G377" s="23"/>
      <c r="H377" s="23"/>
    </row>
    <row r="378" spans="7:8" ht="12.75">
      <c r="G378" s="23"/>
      <c r="H378" s="23"/>
    </row>
    <row r="379" spans="7:8" ht="12.75">
      <c r="G379" s="23"/>
      <c r="H379" s="23"/>
    </row>
    <row r="380" spans="7:8" ht="12.75">
      <c r="G380" s="23"/>
      <c r="H380" s="23"/>
    </row>
    <row r="381" spans="7:8" ht="12.75">
      <c r="G381" s="23"/>
      <c r="H381" s="23"/>
    </row>
    <row r="382" spans="7:8" ht="12.75">
      <c r="G382" s="23"/>
      <c r="H382" s="23"/>
    </row>
    <row r="383" spans="7:8" ht="12.75">
      <c r="G383" s="23"/>
      <c r="H383" s="23"/>
    </row>
    <row r="384" spans="7:8" ht="12.75">
      <c r="G384" s="23"/>
      <c r="H384" s="23"/>
    </row>
    <row r="385" spans="7:8" ht="12.75">
      <c r="G385" s="23"/>
      <c r="H385" s="23"/>
    </row>
    <row r="386" spans="7:8" ht="12.75">
      <c r="G386" s="23"/>
      <c r="H386" s="23"/>
    </row>
    <row r="387" spans="7:8" ht="12.75">
      <c r="G387" s="23"/>
      <c r="H387" s="23"/>
    </row>
    <row r="388" spans="7:8" ht="12.75">
      <c r="G388" s="23"/>
      <c r="H388" s="23"/>
    </row>
    <row r="389" spans="7:8" ht="12.75">
      <c r="G389" s="23"/>
      <c r="H389" s="23"/>
    </row>
    <row r="390" spans="7:8" ht="12.75">
      <c r="G390" s="23"/>
      <c r="H390" s="23"/>
    </row>
    <row r="391" spans="7:8" ht="12.75">
      <c r="G391" s="23"/>
      <c r="H391" s="23"/>
    </row>
    <row r="392" spans="7:8" ht="12.75">
      <c r="G392" s="23"/>
      <c r="H392" s="23"/>
    </row>
    <row r="393" spans="7:8" ht="12.75">
      <c r="G393" s="23"/>
      <c r="H393" s="23"/>
    </row>
    <row r="394" spans="7:8" ht="12.75">
      <c r="G394" s="23"/>
      <c r="H394" s="23"/>
    </row>
    <row r="395" spans="7:8" ht="12.75">
      <c r="G395" s="23"/>
      <c r="H395" s="23"/>
    </row>
    <row r="396" spans="7:8" ht="12.75">
      <c r="G396" s="23"/>
      <c r="H396" s="23"/>
    </row>
    <row r="397" spans="7:8" ht="12.75">
      <c r="G397" s="23"/>
      <c r="H397" s="23"/>
    </row>
    <row r="398" spans="7:8" ht="12.75">
      <c r="G398" s="23"/>
      <c r="H398" s="23"/>
    </row>
    <row r="399" spans="7:8" ht="12.75">
      <c r="G399" s="23"/>
      <c r="H399" s="23"/>
    </row>
    <row r="400" spans="7:8" ht="12.75">
      <c r="G400" s="23"/>
      <c r="H400" s="23"/>
    </row>
    <row r="401" spans="7:8" ht="12.75">
      <c r="G401" s="23"/>
      <c r="H401" s="23"/>
    </row>
    <row r="402" spans="7:8" ht="12.75">
      <c r="G402" s="23"/>
      <c r="H402" s="23"/>
    </row>
    <row r="403" spans="7:8" ht="12.75">
      <c r="G403" s="23"/>
      <c r="H403" s="23"/>
    </row>
    <row r="404" spans="7:8" ht="12.75">
      <c r="G404" s="23"/>
      <c r="H404" s="23"/>
    </row>
    <row r="405" spans="7:8" ht="12.75">
      <c r="G405" s="23"/>
      <c r="H405" s="23"/>
    </row>
    <row r="406" spans="7:8" ht="12.75">
      <c r="G406" s="23"/>
      <c r="H406" s="23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0" operator="lessThan" stopIfTrue="1">
      <formula>0</formula>
    </cfRule>
  </conditionalFormatting>
  <conditionalFormatting sqref="H6:I167">
    <cfRule type="cellIs" priority="2" dxfId="1" operator="lessThan" stopIfTrue="1">
      <formula>0</formula>
    </cfRule>
  </conditionalFormatting>
  <printOptions/>
  <pageMargins left="0.52" right="0.16" top="0.2" bottom="0.19" header="0.17" footer="0.18"/>
  <pageSetup horizontalDpi="600" verticalDpi="600" orientation="portrait" paperSize="9" scale="4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4">
      <selection activeCell="S23" sqref="S23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39</v>
      </c>
      <c r="B1" s="4"/>
      <c r="C1" s="4"/>
      <c r="D1" s="4" t="s">
        <v>37</v>
      </c>
      <c r="E1" s="5">
        <f>'аналіз фінансування'!C150</f>
        <v>1395710.9000000001</v>
      </c>
    </row>
    <row r="2" spans="1:5" ht="15.75">
      <c r="A2" s="4"/>
      <c r="B2" s="4"/>
      <c r="C2" s="4"/>
      <c r="D2" s="4" t="s">
        <v>38</v>
      </c>
      <c r="E2" s="5">
        <f>'аналіз фінансування'!D150</f>
        <v>807790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2" sqref="Q1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6" sqref="R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S16" sqref="S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S23" sqref="S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7" sqref="R1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1" sqref="S2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S20" sqref="S20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R16" sqref="R16"/>
    </sheetView>
  </sheetViews>
  <sheetFormatPr defaultColWidth="9.00390625" defaultRowHeight="12.75"/>
  <cols>
    <col min="5" max="5" width="13.625" style="0" customWidth="1"/>
  </cols>
  <sheetData>
    <row r="1" spans="1:5" ht="15.75">
      <c r="A1" s="4" t="s">
        <v>39</v>
      </c>
      <c r="B1" s="4"/>
      <c r="C1" s="4"/>
      <c r="D1" s="4" t="s">
        <v>37</v>
      </c>
      <c r="E1" s="5">
        <f>'аналіз фінансування'!C150</f>
        <v>1395710.9000000001</v>
      </c>
    </row>
    <row r="2" spans="1:5" ht="15.75">
      <c r="A2" s="4"/>
      <c r="B2" s="4"/>
      <c r="C2" s="4"/>
      <c r="D2" s="4" t="s">
        <v>38</v>
      </c>
      <c r="E2" s="5">
        <f>'аналіз фінансування'!D150</f>
        <v>807790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plan3</cp:lastModifiedBy>
  <cp:lastPrinted>2016-06-30T11:54:53Z</cp:lastPrinted>
  <dcterms:created xsi:type="dcterms:W3CDTF">2000-06-20T04:48:00Z</dcterms:created>
  <dcterms:modified xsi:type="dcterms:W3CDTF">2016-07-29T05:09:12Z</dcterms:modified>
  <cp:category/>
  <cp:version/>
  <cp:contentType/>
  <cp:contentStatus/>
</cp:coreProperties>
</file>